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.moran\OneDrive - INSTITUTO DE DESARROLLO Y CREDITO COOPERATIVO\Escritorio\2025\PORTAL TRANSPARENCIA-2025\ABRIL\"/>
    </mc:Choice>
  </mc:AlternateContent>
  <bookViews>
    <workbookView xWindow="0" yWindow="0" windowWidth="20490" windowHeight="7755"/>
  </bookViews>
  <sheets>
    <sheet name="Ejec. Presup 2025" sheetId="1" r:id="rId1"/>
  </sheets>
  <definedNames>
    <definedName name="_xlnm.Print_Area" localSheetId="0">'Ejec. Presup 2025'!$A$1:$H$111</definedName>
    <definedName name="_xlnm.Print_Titles" localSheetId="0">'Ejec. Presup 2025'!$9:$9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H26" i="1"/>
  <c r="I53" i="1"/>
  <c r="D14" i="1" l="1"/>
  <c r="D15" i="1"/>
  <c r="G21" i="1" l="1"/>
  <c r="H21" i="1" s="1"/>
  <c r="G58" i="1"/>
  <c r="H58" i="1" s="1"/>
  <c r="G55" i="1"/>
  <c r="H55" i="1" s="1"/>
  <c r="G30" i="1"/>
  <c r="H30" i="1" s="1"/>
  <c r="G28" i="1"/>
  <c r="H28" i="1" s="1"/>
  <c r="D59" i="1" l="1"/>
  <c r="G84" i="1"/>
  <c r="G81" i="1"/>
  <c r="G78" i="1"/>
  <c r="G71" i="1"/>
  <c r="G68" i="1"/>
  <c r="G63" i="1"/>
  <c r="G45" i="1"/>
  <c r="G86" i="1" l="1"/>
  <c r="G37" i="1"/>
  <c r="C53" i="1" l="1"/>
  <c r="F34" i="1"/>
  <c r="F18" i="1"/>
  <c r="F12" i="1"/>
  <c r="F25" i="1"/>
  <c r="F54" i="1"/>
  <c r="F36" i="1"/>
  <c r="F29" i="1"/>
  <c r="F24" i="1"/>
  <c r="F23" i="1"/>
  <c r="F22" i="1"/>
  <c r="F16" i="1"/>
  <c r="F13" i="1"/>
  <c r="G29" i="1" l="1"/>
  <c r="H29" i="1"/>
  <c r="G18" i="1"/>
  <c r="H18" i="1" s="1"/>
  <c r="D18" i="1" s="1"/>
  <c r="G25" i="1"/>
  <c r="H25" i="1" s="1"/>
  <c r="G22" i="1"/>
  <c r="H22" i="1" s="1"/>
  <c r="G36" i="1"/>
  <c r="H36" i="1" s="1"/>
  <c r="G34" i="1"/>
  <c r="H34" i="1"/>
  <c r="G12" i="1"/>
  <c r="H12" i="1" s="1"/>
  <c r="D12" i="1" s="1"/>
  <c r="G23" i="1"/>
  <c r="H23" i="1" s="1"/>
  <c r="D23" i="1" s="1"/>
  <c r="G54" i="1"/>
  <c r="G53" i="1" s="1"/>
  <c r="G13" i="1"/>
  <c r="H13" i="1" s="1"/>
  <c r="D13" i="1" s="1"/>
  <c r="G24" i="1"/>
  <c r="F17" i="1"/>
  <c r="F27" i="1"/>
  <c r="G16" i="1"/>
  <c r="H16" i="1" s="1"/>
  <c r="D16" i="1" s="1"/>
  <c r="D35" i="1"/>
  <c r="D21" i="1"/>
  <c r="D20" i="1"/>
  <c r="D19" i="1"/>
  <c r="G17" i="1" l="1"/>
  <c r="D34" i="1"/>
  <c r="D11" i="1"/>
  <c r="H27" i="1"/>
  <c r="H54" i="1"/>
  <c r="G27" i="1"/>
  <c r="D54" i="1"/>
  <c r="H24" i="1"/>
  <c r="D24" i="1" s="1"/>
  <c r="G11" i="1"/>
  <c r="D62" i="1"/>
  <c r="D61" i="1"/>
  <c r="D60" i="1"/>
  <c r="D58" i="1"/>
  <c r="D57" i="1"/>
  <c r="D56" i="1"/>
  <c r="D55" i="1"/>
  <c r="D36" i="1"/>
  <c r="D33" i="1"/>
  <c r="D32" i="1"/>
  <c r="D31" i="1"/>
  <c r="D30" i="1"/>
  <c r="D29" i="1"/>
  <c r="D28" i="1"/>
  <c r="D26" i="1"/>
  <c r="D25" i="1"/>
  <c r="D22" i="1"/>
  <c r="D17" i="1" l="1"/>
  <c r="H17" i="1" s="1"/>
  <c r="D53" i="1"/>
  <c r="P11" i="1"/>
  <c r="M37" i="1" l="1"/>
  <c r="H45" i="1" l="1"/>
  <c r="I45" i="1"/>
  <c r="J45" i="1"/>
  <c r="H37" i="1"/>
  <c r="I37" i="1"/>
  <c r="J37" i="1"/>
  <c r="H63" i="1" l="1"/>
  <c r="I63" i="1"/>
  <c r="J63" i="1" l="1"/>
  <c r="F84" i="1" l="1"/>
  <c r="F81" i="1"/>
  <c r="F78" i="1"/>
  <c r="F68" i="1"/>
  <c r="F63" i="1"/>
  <c r="F45" i="1"/>
  <c r="F37" i="1"/>
  <c r="F86" i="1" l="1"/>
  <c r="H53" i="1"/>
  <c r="H75" i="1" s="1"/>
  <c r="F11" i="1"/>
  <c r="F53" i="1"/>
  <c r="B17" i="1"/>
  <c r="E84" i="1"/>
  <c r="E81" i="1"/>
  <c r="E78" i="1"/>
  <c r="F71" i="1"/>
  <c r="E68" i="1"/>
  <c r="E63" i="1"/>
  <c r="E53" i="1"/>
  <c r="E45" i="1"/>
  <c r="E37" i="1"/>
  <c r="E27" i="1"/>
  <c r="E17" i="1"/>
  <c r="E11" i="1"/>
  <c r="F75" i="1" l="1"/>
  <c r="E75" i="1"/>
  <c r="E86" i="1"/>
  <c r="D47" i="1"/>
  <c r="E88" i="1" l="1"/>
  <c r="J53" i="1"/>
  <c r="H11" i="1"/>
  <c r="J17" i="1" l="1"/>
  <c r="J27" i="1"/>
  <c r="I11" i="1"/>
  <c r="C11" i="1"/>
  <c r="C17" i="1"/>
  <c r="C27" i="1"/>
  <c r="C63" i="1"/>
  <c r="B11" i="1"/>
  <c r="B27" i="1"/>
  <c r="B53" i="1"/>
  <c r="C45" i="1"/>
  <c r="B45" i="1"/>
  <c r="C37" i="1"/>
  <c r="B37" i="1"/>
  <c r="D38" i="1"/>
  <c r="D39" i="1"/>
  <c r="D40" i="1"/>
  <c r="D41" i="1"/>
  <c r="D42" i="1"/>
  <c r="D43" i="1"/>
  <c r="D44" i="1"/>
  <c r="D46" i="1"/>
  <c r="D48" i="1"/>
  <c r="D49" i="1"/>
  <c r="D50" i="1"/>
  <c r="D51" i="1"/>
  <c r="D52" i="1"/>
  <c r="D68" i="1"/>
  <c r="D71" i="1"/>
  <c r="J78" i="1"/>
  <c r="D84" i="1"/>
  <c r="D78" i="1"/>
  <c r="D82" i="1"/>
  <c r="D81" i="1" s="1"/>
  <c r="I86" i="1"/>
  <c r="H86" i="1"/>
  <c r="K17" i="1" l="1"/>
  <c r="I17" i="1"/>
  <c r="J11" i="1"/>
  <c r="C75" i="1"/>
  <c r="D37" i="1"/>
  <c r="D86" i="1"/>
  <c r="B75" i="1"/>
  <c r="F88" i="1"/>
  <c r="D45" i="1"/>
  <c r="K11" i="1" l="1"/>
  <c r="L11" i="1"/>
  <c r="C88" i="1"/>
  <c r="B88" i="1"/>
  <c r="M11" i="1" l="1"/>
  <c r="N11" i="1" l="1"/>
  <c r="J75" i="1"/>
  <c r="J88" i="1" s="1"/>
  <c r="O11" i="1" l="1"/>
  <c r="K75" i="1" l="1"/>
  <c r="K88" i="1" s="1"/>
  <c r="D27" i="1" l="1"/>
  <c r="G75" i="1" l="1"/>
  <c r="G88" i="1" s="1"/>
  <c r="M75" i="1"/>
  <c r="M88" i="1" s="1"/>
  <c r="L75" i="1" l="1"/>
  <c r="L88" i="1" s="1"/>
  <c r="N75" i="1"/>
  <c r="N88" i="1" s="1"/>
  <c r="O75" i="1" l="1"/>
  <c r="O88" i="1" s="1"/>
  <c r="D63" i="1"/>
  <c r="D75" i="1" s="1"/>
  <c r="D88" i="1" l="1"/>
  <c r="H88" i="1"/>
  <c r="P75" i="1"/>
  <c r="P88" i="1" s="1"/>
  <c r="I75" i="1"/>
</calcChain>
</file>

<file path=xl/sharedStrings.xml><?xml version="1.0" encoding="utf-8"?>
<sst xmlns="http://schemas.openxmlformats.org/spreadsheetml/2006/main" count="102" uniqueCount="102">
  <si>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</si>
  <si>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</si>
  <si>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</si>
  <si>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</si>
  <si>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</si>
  <si>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</si>
  <si>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</si>
  <si>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</si>
  <si>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</si>
  <si>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</si>
  <si>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</si>
  <si>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</si>
  <si>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</si>
  <si>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</si>
  <si>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</si>
  <si>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</si>
  <si>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</si>
  <si>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</si>
  <si>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</si>
  <si>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</si>
  <si>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</si>
  <si>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</si>
  <si>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</si>
  <si>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</si>
  <si>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</si>
  <si>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</si>
  <si>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</si>
  <si>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</si>
  <si>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</si>
  <si>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</si>
  <si>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</si>
  <si>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</si>
  <si>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</si>
  <si>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</si>
  <si>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</si>
  <si>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</si>
  <si>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</si>
  <si>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</si>
  <si>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</si>
  <si>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</si>
  <si>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</si>
  <si>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</si>
  <si>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</si>
  <si>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</si>
  <si>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</si>
  <si>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</si>
  <si>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</si>
  <si>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</si>
  <si>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</si>
  <si>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</si>
  <si>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</si>
  <si>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</si>
  <si>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</si>
  <si>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</si>
  <si>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</si>
  <si>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</si>
  <si>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</si>
  <si>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</si>
  <si>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</si>
  <si>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</si>
  <si>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</si>
  <si>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</si>
  <si>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</si>
  <si>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</si>
  <si>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</si>
  <si>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</si>
  <si>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</si>
  <si>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</si>
  <si>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</si>
  <si>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</si>
  <si>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</si>
  <si>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</si>
  <si>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</si>
  <si>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</si>
  <si>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</si>
  <si>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</si>
  <si>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</si>
  <si>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</si>
  <si>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</si>
  <si>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</si>
  <si>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</si>
  <si>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</si>
  <si>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</si>
  <si>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</si>
  <si>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</si>
  <si>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</si>
  <si>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</si>
  <si>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</si>
  <si>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DIRECTORA FINANCIERA</t>
  </si>
  <si>
    <t>2.2.9 - SERVICIOS DE ALIMENTACION</t>
  </si>
  <si>
    <t>Presupuesto Aprobado</t>
  </si>
  <si>
    <t xml:space="preserve">Presupuesto Modificado </t>
  </si>
  <si>
    <t>FUENTE: SIGEF</t>
  </si>
  <si>
    <t>DETALLE</t>
  </si>
  <si>
    <t xml:space="preserve">INSTITUTO DE DESARROLLO Y CREDITO COOPERATIVO </t>
  </si>
  <si>
    <t>IDECOOP</t>
  </si>
  <si>
    <t>Licda Bernarda Gómez</t>
  </si>
  <si>
    <t>2.1-RENUMERACIONES Y CONTRIBUCIONES</t>
  </si>
  <si>
    <r>
      <rPr>
        <b/>
        <sz val="55"/>
        <color theme="1"/>
        <rFont val="Arial Black"/>
        <family val="2"/>
      </rPr>
      <t>Presupuesto Aprobado:</t>
    </r>
    <r>
      <rPr>
        <b/>
        <sz val="55"/>
        <color theme="1"/>
        <rFont val="Arial"/>
        <family val="2"/>
      </rPr>
      <t xml:space="preserve"> se refiere al presupuesto aprobado en la Ley de Presupuesto General del Estado</t>
    </r>
  </si>
  <si>
    <r>
      <rPr>
        <b/>
        <sz val="55"/>
        <color theme="1"/>
        <rFont val="Arial Black"/>
        <family val="2"/>
      </rPr>
      <t xml:space="preserve">Presupuesto Modificado: </t>
    </r>
    <r>
      <rPr>
        <b/>
        <sz val="55"/>
        <color theme="1"/>
        <rFont val="Arial"/>
        <family val="2"/>
      </rPr>
      <t>se refiere al presupuesto aprobado en caso de que el congreso nacional apruebe un presupuesto complementario</t>
    </r>
  </si>
  <si>
    <r>
      <rPr>
        <b/>
        <sz val="55"/>
        <color theme="1"/>
        <rFont val="Arial Black"/>
        <family val="2"/>
      </rPr>
      <t>Total Devengado:</t>
    </r>
    <r>
      <rPr>
        <b/>
        <sz val="55"/>
        <color theme="1"/>
        <rFont val="Arial"/>
        <family val="2"/>
      </rPr>
      <t xml:space="preserve"> Son los recursos financieros que surgen con la obligacion de pago por la recepcion de conformidad de obras, bienes y servicios oportunamente contratados o en los casos de gastos sin contraprestacion, por haberse cumplido los requisitos administrativos dispuesto por el reglamento de la presente ley.</t>
    </r>
  </si>
  <si>
    <t>EJECUCION PRESUPUESTARIA ABRIL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</si>
</sst>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72"/>
      <color theme="1"/>
      <name val="Arial"/>
      <family val="2"/>
    </font>
    <font>
      <sz val="72"/>
      <color theme="1"/>
      <name val="Calibri"/>
      <family val="2"/>
      <scheme val="minor"/>
    </font>
    <font>
      <sz val="72"/>
      <name val="Calibri"/>
      <family val="2"/>
      <scheme val="minor"/>
    </font>
    <font>
      <b/>
      <sz val="72"/>
      <color theme="1"/>
      <name val="Calibri"/>
      <family val="2"/>
      <scheme val="minor"/>
    </font>
    <font>
      <b/>
      <sz val="72"/>
      <name val="Calibri"/>
      <family val="2"/>
      <scheme val="minor"/>
    </font>
    <font>
      <b/>
      <sz val="72"/>
      <color theme="1"/>
      <name val="Arial Black"/>
      <family val="2"/>
    </font>
    <font>
      <b/>
      <sz val="72"/>
      <color theme="1"/>
      <name val="Arial"/>
      <family val="2"/>
    </font>
    <font>
      <b/>
      <sz val="60"/>
      <color theme="1"/>
      <name val="Calibri"/>
      <family val="2"/>
      <scheme val="minor"/>
    </font>
    <font>
      <sz val="60"/>
      <color theme="1"/>
      <name val="Calibri"/>
      <family val="2"/>
      <scheme val="minor"/>
    </font>
    <font>
      <sz val="60"/>
      <name val="Calibri"/>
      <family val="2"/>
      <scheme val="minor"/>
    </font>
    <font>
      <b/>
      <sz val="60"/>
      <name val="Calibri"/>
      <family val="2"/>
      <scheme val="minor"/>
    </font>
    <font>
      <b/>
      <sz val="58"/>
      <color theme="1"/>
      <name val="Calibri"/>
      <family val="2"/>
      <scheme val="minor"/>
    </font>
    <font>
      <sz val="55"/>
      <color theme="1"/>
      <name val="Calibri"/>
      <family val="2"/>
      <scheme val="minor"/>
    </font>
    <font>
      <b/>
      <sz val="55"/>
      <color theme="1"/>
      <name val="Calibri"/>
      <family val="2"/>
      <scheme val="minor"/>
    </font>
    <font>
      <b/>
      <sz val="55"/>
      <color theme="1"/>
      <name val="Arial"/>
      <family val="2"/>
    </font>
    <font>
      <b/>
      <sz val="90"/>
      <color theme="1"/>
      <name val="Arial Black"/>
      <family val="2"/>
    </font>
    <font>
      <b/>
      <u/>
      <sz val="110"/>
      <color theme="1"/>
      <name val="Arial"/>
      <family val="2"/>
    </font>
    <font>
      <b/>
      <sz val="80"/>
      <color theme="1"/>
      <name val="Arial Black"/>
      <family val="2"/>
    </font>
    <font>
      <b/>
      <sz val="85"/>
      <color theme="1"/>
      <name val="Arial Black"/>
      <family val="2"/>
    </font>
    <font>
      <b/>
      <sz val="55"/>
      <color theme="1"/>
      <name val="Arial Black"/>
      <family val="2"/>
    </font>
    <font>
      <b/>
      <sz val="48"/>
      <color theme="1"/>
      <name val="Arial Black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6">
    <xf numFmtId="0" fontId="0" fillId="0" borderId="0" xfId="0"/>
    <xf numFmtId="0" fontId="3" fillId="0" borderId="0" xfId="0" applyFont="1" applyAlignment="1">
      <alignment wrapText="1"/>
    </xf>
    <xf numFmtId="4" fontId="3" fillId="3" borderId="0" xfId="0" applyNumberFormat="1" applyFont="1" applyFill="1"/>
    <xf numFmtId="0" fontId="3" fillId="0" borderId="0" xfId="0" applyFont="1"/>
    <xf numFmtId="164" fontId="3" fillId="0" borderId="0" xfId="1" applyFont="1"/>
    <xf numFmtId="0" fontId="3" fillId="3" borderId="0" xfId="0" applyFont="1" applyFill="1"/>
    <xf numFmtId="4" fontId="4" fillId="5" borderId="0" xfId="0" applyNumberFormat="1" applyFont="1" applyFill="1"/>
    <xf numFmtId="0" fontId="3" fillId="4" borderId="0" xfId="0" applyFont="1" applyFill="1"/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4" fontId="6" fillId="2" borderId="5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5" fillId="3" borderId="1" xfId="1" applyNumberFormat="1" applyFont="1" applyFill="1" applyBorder="1" applyAlignment="1">
      <alignment horizontal="left" vertical="center" wrapText="1"/>
    </xf>
    <xf numFmtId="164" fontId="5" fillId="0" borderId="1" xfId="1" applyFont="1" applyBorder="1" applyAlignment="1">
      <alignment horizontal="left" vertical="center" wrapText="1"/>
    </xf>
    <xf numFmtId="164" fontId="5" fillId="3" borderId="1" xfId="1" applyFont="1" applyFill="1" applyBorder="1" applyAlignment="1">
      <alignment horizontal="left" vertical="center" wrapText="1"/>
    </xf>
    <xf numFmtId="4" fontId="6" fillId="3" borderId="1" xfId="1" applyNumberFormat="1" applyFont="1" applyFill="1" applyBorder="1" applyAlignment="1">
      <alignment horizontal="left" vertical="center" wrapText="1"/>
    </xf>
    <xf numFmtId="4" fontId="3" fillId="0" borderId="0" xfId="0" applyNumberFormat="1" applyFont="1"/>
    <xf numFmtId="4" fontId="4" fillId="3" borderId="0" xfId="0" applyNumberFormat="1" applyFont="1" applyFill="1"/>
    <xf numFmtId="164" fontId="3" fillId="0" borderId="0" xfId="0" applyNumberFormat="1" applyFont="1"/>
    <xf numFmtId="4" fontId="5" fillId="3" borderId="0" xfId="0" applyNumberFormat="1" applyFont="1" applyFill="1"/>
    <xf numFmtId="0" fontId="3" fillId="0" borderId="0" xfId="0" applyFont="1" applyAlignment="1"/>
    <xf numFmtId="0" fontId="8" fillId="0" borderId="0" xfId="0" applyFont="1" applyAlignment="1">
      <alignment horizontal="left" wrapText="1"/>
    </xf>
    <xf numFmtId="0" fontId="5" fillId="0" borderId="0" xfId="0" applyFont="1"/>
    <xf numFmtId="0" fontId="3" fillId="5" borderId="0" xfId="0" applyFont="1" applyFill="1"/>
    <xf numFmtId="4" fontId="3" fillId="5" borderId="0" xfId="0" applyNumberFormat="1" applyFont="1" applyFill="1"/>
    <xf numFmtId="164" fontId="4" fillId="5" borderId="0" xfId="1" applyFont="1" applyFill="1"/>
    <xf numFmtId="4" fontId="3" fillId="0" borderId="0" xfId="0" applyNumberFormat="1" applyFont="1" applyAlignment="1">
      <alignment wrapText="1"/>
    </xf>
    <xf numFmtId="164" fontId="9" fillId="0" borderId="0" xfId="1" applyFont="1" applyAlignment="1">
      <alignment horizontal="left" vertical="center" wrapText="1"/>
    </xf>
    <xf numFmtId="4" fontId="9" fillId="3" borderId="0" xfId="1" applyNumberFormat="1" applyFont="1" applyFill="1"/>
    <xf numFmtId="164" fontId="9" fillId="3" borderId="0" xfId="1" applyFont="1" applyFill="1"/>
    <xf numFmtId="164" fontId="10" fillId="3" borderId="0" xfId="1" applyFont="1" applyFill="1"/>
    <xf numFmtId="164" fontId="10" fillId="0" borderId="0" xfId="1" applyFont="1" applyAlignment="1">
      <alignment horizontal="left" vertical="center" wrapText="1"/>
    </xf>
    <xf numFmtId="4" fontId="10" fillId="3" borderId="0" xfId="1" applyNumberFormat="1" applyFont="1" applyFill="1"/>
    <xf numFmtId="4" fontId="10" fillId="0" borderId="0" xfId="0" applyNumberFormat="1" applyFont="1"/>
    <xf numFmtId="164" fontId="10" fillId="0" borderId="0" xfId="1" applyFont="1"/>
    <xf numFmtId="4" fontId="10" fillId="3" borderId="0" xfId="0" applyNumberFormat="1" applyFont="1" applyFill="1"/>
    <xf numFmtId="164" fontId="10" fillId="3" borderId="0" xfId="1" applyFont="1" applyFill="1" applyBorder="1"/>
    <xf numFmtId="4" fontId="11" fillId="3" borderId="0" xfId="1" applyNumberFormat="1" applyFont="1" applyFill="1"/>
    <xf numFmtId="4" fontId="11" fillId="3" borderId="0" xfId="0" applyNumberFormat="1" applyFont="1" applyFill="1"/>
    <xf numFmtId="164" fontId="10" fillId="3" borderId="0" xfId="0" applyNumberFormat="1" applyFont="1" applyFill="1"/>
    <xf numFmtId="165" fontId="10" fillId="0" borderId="0" xfId="0" applyNumberFormat="1" applyFont="1" applyAlignment="1">
      <alignment vertical="center" wrapText="1"/>
    </xf>
    <xf numFmtId="164" fontId="10" fillId="0" borderId="0" xfId="1" applyFont="1" applyAlignment="1">
      <alignment vertical="center" wrapText="1"/>
    </xf>
    <xf numFmtId="43" fontId="10" fillId="0" borderId="0" xfId="0" applyNumberFormat="1" applyFont="1"/>
    <xf numFmtId="0" fontId="10" fillId="3" borderId="0" xfId="0" applyFont="1" applyFill="1"/>
    <xf numFmtId="43" fontId="10" fillId="3" borderId="0" xfId="0" applyNumberFormat="1" applyFont="1" applyFill="1"/>
    <xf numFmtId="43" fontId="9" fillId="3" borderId="0" xfId="0" applyNumberFormat="1" applyFont="1" applyFill="1" applyBorder="1"/>
    <xf numFmtId="0" fontId="9" fillId="3" borderId="0" xfId="0" applyFont="1" applyFill="1"/>
    <xf numFmtId="4" fontId="9" fillId="3" borderId="0" xfId="0" applyNumberFormat="1" applyFont="1" applyFill="1"/>
    <xf numFmtId="43" fontId="10" fillId="0" borderId="0" xfId="0" applyNumberFormat="1" applyFont="1" applyAlignment="1">
      <alignment vertical="center" wrapText="1"/>
    </xf>
    <xf numFmtId="164" fontId="10" fillId="0" borderId="0" xfId="0" applyNumberFormat="1" applyFont="1"/>
    <xf numFmtId="164" fontId="10" fillId="3" borderId="0" xfId="0" applyNumberFormat="1" applyFont="1" applyFill="1" applyBorder="1"/>
    <xf numFmtId="164" fontId="11" fillId="3" borderId="0" xfId="1" applyFont="1" applyFill="1" applyBorder="1"/>
    <xf numFmtId="43" fontId="10" fillId="3" borderId="0" xfId="0" applyNumberFormat="1" applyFont="1" applyFill="1" applyBorder="1"/>
    <xf numFmtId="0" fontId="9" fillId="3" borderId="0" xfId="0" applyFont="1" applyFill="1" applyBorder="1"/>
    <xf numFmtId="3" fontId="10" fillId="3" borderId="0" xfId="0" applyNumberFormat="1" applyFont="1" applyFill="1"/>
    <xf numFmtId="165" fontId="10" fillId="0" borderId="0" xfId="0" applyNumberFormat="1" applyFont="1"/>
    <xf numFmtId="0" fontId="10" fillId="0" borderId="0" xfId="0" applyFont="1"/>
    <xf numFmtId="165" fontId="10" fillId="3" borderId="0" xfId="0" applyNumberFormat="1" applyFont="1" applyFill="1" applyBorder="1"/>
    <xf numFmtId="165" fontId="10" fillId="3" borderId="0" xfId="0" applyNumberFormat="1" applyFont="1" applyFill="1"/>
    <xf numFmtId="43" fontId="10" fillId="0" borderId="0" xfId="0" applyNumberFormat="1" applyFont="1" applyAlignment="1">
      <alignment vertical="center"/>
    </xf>
    <xf numFmtId="164" fontId="10" fillId="0" borderId="0" xfId="1" applyFont="1" applyAlignment="1"/>
    <xf numFmtId="3" fontId="10" fillId="0" borderId="0" xfId="0" applyNumberFormat="1" applyFont="1" applyAlignment="1"/>
    <xf numFmtId="164" fontId="10" fillId="3" borderId="0" xfId="0" applyNumberFormat="1" applyFont="1" applyFill="1" applyAlignment="1"/>
    <xf numFmtId="4" fontId="10" fillId="3" borderId="0" xfId="0" applyNumberFormat="1" applyFont="1" applyFill="1" applyAlignment="1"/>
    <xf numFmtId="4" fontId="11" fillId="3" borderId="0" xfId="0" applyNumberFormat="1" applyFont="1" applyFill="1" applyAlignment="1"/>
    <xf numFmtId="165" fontId="10" fillId="0" borderId="0" xfId="0" applyNumberFormat="1" applyFont="1" applyAlignment="1">
      <alignment vertical="center"/>
    </xf>
    <xf numFmtId="0" fontId="10" fillId="0" borderId="0" xfId="0" applyFont="1" applyAlignment="1"/>
    <xf numFmtId="0" fontId="10" fillId="3" borderId="0" xfId="0" applyFont="1" applyFill="1" applyAlignment="1"/>
    <xf numFmtId="0" fontId="10" fillId="3" borderId="0" xfId="0" applyFont="1" applyFill="1" applyBorder="1" applyAlignment="1"/>
    <xf numFmtId="164" fontId="10" fillId="0" borderId="0" xfId="0" applyNumberFormat="1" applyFont="1" applyAlignment="1">
      <alignment wrapText="1"/>
    </xf>
    <xf numFmtId="0" fontId="10" fillId="3" borderId="0" xfId="0" applyFont="1" applyFill="1" applyBorder="1"/>
    <xf numFmtId="43" fontId="9" fillId="2" borderId="0" xfId="0" applyNumberFormat="1" applyFont="1" applyFill="1" applyBorder="1" applyAlignment="1">
      <alignment horizontal="left" vertical="center" wrapText="1"/>
    </xf>
    <xf numFmtId="43" fontId="9" fillId="2" borderId="2" xfId="0" applyNumberFormat="1" applyFont="1" applyFill="1" applyBorder="1" applyAlignment="1">
      <alignment horizontal="center" vertical="center" wrapText="1"/>
    </xf>
    <xf numFmtId="164" fontId="9" fillId="2" borderId="2" xfId="1" applyFont="1" applyFill="1" applyBorder="1" applyAlignment="1">
      <alignment horizontal="center" vertical="center" wrapText="1"/>
    </xf>
    <xf numFmtId="165" fontId="9" fillId="2" borderId="2" xfId="0" applyNumberFormat="1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4" fontId="12" fillId="2" borderId="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4" fontId="9" fillId="3" borderId="1" xfId="0" applyNumberFormat="1" applyFont="1" applyFill="1" applyBorder="1" applyAlignment="1">
      <alignment vertical="center" wrapText="1"/>
    </xf>
    <xf numFmtId="165" fontId="9" fillId="0" borderId="1" xfId="0" applyNumberFormat="1" applyFont="1" applyBorder="1" applyAlignment="1">
      <alignment vertical="center" wrapText="1"/>
    </xf>
    <xf numFmtId="164" fontId="9" fillId="0" borderId="1" xfId="1" applyFont="1" applyBorder="1" applyAlignment="1">
      <alignment vertical="center" wrapText="1"/>
    </xf>
    <xf numFmtId="165" fontId="9" fillId="3" borderId="1" xfId="0" applyNumberFormat="1" applyFont="1" applyFill="1" applyBorder="1" applyAlignment="1">
      <alignment vertical="center" wrapText="1"/>
    </xf>
    <xf numFmtId="4" fontId="12" fillId="3" borderId="1" xfId="0" applyNumberFormat="1" applyFont="1" applyFill="1" applyBorder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43" fontId="9" fillId="0" borderId="0" xfId="0" applyNumberFormat="1" applyFont="1" applyAlignment="1">
      <alignment horizontal="left" vertical="center" wrapText="1"/>
    </xf>
    <xf numFmtId="43" fontId="10" fillId="0" borderId="0" xfId="0" applyNumberFormat="1" applyFont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4" fontId="9" fillId="2" borderId="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vertical="center" wrapText="1"/>
    </xf>
    <xf numFmtId="43" fontId="9" fillId="0" borderId="0" xfId="0" applyNumberFormat="1" applyFont="1" applyAlignment="1">
      <alignment wrapText="1"/>
    </xf>
    <xf numFmtId="4" fontId="9" fillId="2" borderId="0" xfId="0" applyNumberFormat="1" applyFont="1" applyFill="1" applyBorder="1" applyAlignment="1">
      <alignment horizontal="right" vertical="center" wrapText="1"/>
    </xf>
    <xf numFmtId="164" fontId="9" fillId="2" borderId="0" xfId="1" applyFont="1" applyFill="1" applyBorder="1" applyAlignment="1">
      <alignment horizontal="center" vertical="center" wrapText="1"/>
    </xf>
    <xf numFmtId="165" fontId="9" fillId="2" borderId="0" xfId="0" applyNumberFormat="1" applyFont="1" applyFill="1" applyBorder="1" applyAlignment="1">
      <alignment horizontal="center" vertical="center" wrapText="1"/>
    </xf>
    <xf numFmtId="4" fontId="9" fillId="2" borderId="0" xfId="0" applyNumberFormat="1" applyFont="1" applyFill="1" applyBorder="1" applyAlignment="1">
      <alignment horizontal="center" vertical="center" wrapText="1"/>
    </xf>
    <xf numFmtId="4" fontId="12" fillId="2" borderId="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9" fillId="2" borderId="3" xfId="0" applyFont="1" applyFill="1" applyBorder="1" applyAlignment="1">
      <alignment horizontal="center" vertical="center" wrapText="1"/>
    </xf>
    <xf numFmtId="164" fontId="13" fillId="0" borderId="0" xfId="1" applyFont="1" applyAlignment="1">
      <alignment horizontal="left" vertical="center" wrapText="1"/>
    </xf>
    <xf numFmtId="164" fontId="9" fillId="0" borderId="1" xfId="1" applyFont="1" applyBorder="1" applyAlignment="1">
      <alignment horizontal="left" vertical="center" wrapText="1"/>
    </xf>
    <xf numFmtId="164" fontId="10" fillId="0" borderId="0" xfId="0" applyNumberFormat="1" applyFont="1" applyAlignment="1"/>
    <xf numFmtId="0" fontId="14" fillId="0" borderId="0" xfId="0" applyFont="1" applyAlignment="1">
      <alignment wrapText="1"/>
    </xf>
    <xf numFmtId="0" fontId="15" fillId="0" borderId="1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16" fillId="0" borderId="0" xfId="0" applyFont="1" applyAlignment="1">
      <alignment horizontal="left" wrapText="1"/>
    </xf>
    <xf numFmtId="4" fontId="14" fillId="0" borderId="0" xfId="0" applyNumberFormat="1" applyFont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0" fontId="17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7" fillId="0" borderId="0" xfId="0" applyFont="1" applyAlignment="1"/>
    <xf numFmtId="0" fontId="8" fillId="0" borderId="0" xfId="0" applyFont="1" applyAlignment="1">
      <alignment horizontal="left" wrapText="1"/>
    </xf>
    <xf numFmtId="4" fontId="5" fillId="2" borderId="3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4" fontId="12" fillId="3" borderId="0" xfId="1" applyNumberFormat="1" applyFont="1" applyFill="1"/>
    <xf numFmtId="0" fontId="21" fillId="0" borderId="0" xfId="0" applyFont="1" applyAlignment="1">
      <alignment wrapText="1"/>
    </xf>
    <xf numFmtId="43" fontId="14" fillId="0" borderId="0" xfId="0" applyNumberFormat="1" applyFont="1" applyAlignment="1">
      <alignment wrapText="1"/>
    </xf>
    <xf numFmtId="4" fontId="14" fillId="3" borderId="0" xfId="0" applyNumberFormat="1" applyFont="1" applyFill="1"/>
    <xf numFmtId="0" fontId="14" fillId="0" borderId="0" xfId="0" applyFont="1"/>
    <xf numFmtId="0" fontId="7" fillId="0" borderId="7" xfId="0" applyFont="1" applyBorder="1" applyAlignment="1">
      <alignment horizontal="center" wrapText="1"/>
    </xf>
    <xf numFmtId="164" fontId="5" fillId="2" borderId="3" xfId="1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center" wrapText="1"/>
    </xf>
    <xf numFmtId="43" fontId="10" fillId="3" borderId="0" xfId="1" applyNumberFormat="1" applyFont="1" applyFill="1"/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2" fillId="0" borderId="0" xfId="0" applyFont="1" applyAlignment="1">
      <alignment horizontal="center"/>
    </xf>
    <xf numFmtId="0" fontId="16" fillId="0" borderId="0" xfId="0" applyFont="1" applyAlignment="1">
      <alignment horizontal="left" wrapText="1"/>
    </xf>
    <xf numFmtId="0" fontId="7" fillId="0" borderId="0" xfId="0" applyFont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2117112</xdr:colOff>
      <xdr:row>0</xdr:row>
      <xdr:rowOff>1204695</xdr:rowOff>
    </xdr:from>
    <xdr:to>
      <xdr:col>3</xdr:col>
      <xdr:colOff>4090147</xdr:colOff>
      <xdr:row>4</xdr:row>
      <xdr:rowOff>614215</xdr:rowOff>
    </xdr:to>
    <xdr:pic>
      <xdr:nvPicPr>
        <xdr:cNvPr id="2" name="Imagen 1" descr="https://precision.com.do/wp-content/uploads/2020/08/gobierno-rd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69318" y="1204695"/>
          <a:ext cx="7519947" cy="4284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6"/>
  <sheetViews>
    <sheetView tabSelected="1" view="pageBreakPreview" topLeftCell="A96" zoomScale="17" zoomScaleNormal="15" zoomScaleSheetLayoutView="17" zoomScalePageLayoutView="23" workbookViewId="0">
      <selection activeCell="A111" sqref="A111:H111"/>
    </sheetView>
  </sheetViews>
  <sheetFormatPr baseColWidth="10" defaultColWidth="9.140625" defaultRowHeight="65.099999999999994" customHeight="1" x14ac:dyDescent="1.35"/>
  <cols>
    <col min="1" max="1" width="236" style="104" customWidth="1"/>
    <col min="2" max="2" width="93.140625" style="1" customWidth="1"/>
    <col min="3" max="3" width="83.28515625" style="1" customWidth="1"/>
    <col min="4" max="4" width="92.7109375" style="2" customWidth="1"/>
    <col min="5" max="5" width="79.85546875" style="3" customWidth="1"/>
    <col min="6" max="6" width="89.140625" style="4" customWidth="1"/>
    <col min="7" max="7" width="81.42578125" style="4" customWidth="1"/>
    <col min="8" max="8" width="96.5703125" style="3" customWidth="1"/>
    <col min="9" max="9" width="117.28515625" style="5" customWidth="1"/>
    <col min="10" max="10" width="110.140625" style="3" customWidth="1"/>
    <col min="11" max="11" width="108.7109375" style="26" customWidth="1"/>
    <col min="12" max="12" width="104.42578125" style="26" customWidth="1"/>
    <col min="13" max="13" width="113" style="27" customWidth="1"/>
    <col min="14" max="14" width="107.28515625" style="6" customWidth="1"/>
    <col min="15" max="15" width="111.5703125" style="7" customWidth="1"/>
    <col min="16" max="16" width="111.5703125" style="59" customWidth="1"/>
    <col min="17" max="17" width="49.140625" style="3" customWidth="1"/>
    <col min="18" max="16384" width="9.140625" style="3"/>
  </cols>
  <sheetData>
    <row r="1" spans="1:16" ht="219.75" customHeight="1" x14ac:dyDescent="2.5">
      <c r="G1" s="114"/>
      <c r="H1" s="114"/>
      <c r="I1" s="114"/>
      <c r="J1" s="114"/>
      <c r="K1" s="114"/>
      <c r="L1" s="114"/>
      <c r="M1" s="114"/>
      <c r="N1" s="114"/>
      <c r="O1" s="114"/>
      <c r="P1" s="114"/>
    </row>
    <row r="2" spans="1:16" ht="161.25" customHeight="1" x14ac:dyDescent="2.5">
      <c r="G2" s="114"/>
      <c r="H2" s="114"/>
      <c r="I2" s="114"/>
      <c r="J2" s="114"/>
      <c r="K2" s="114"/>
      <c r="L2" s="114"/>
      <c r="M2" s="114"/>
      <c r="N2" s="114"/>
      <c r="O2" s="114"/>
      <c r="P2" s="114"/>
    </row>
    <row r="3" spans="1:16" ht="64.5" hidden="1" customHeight="1" x14ac:dyDescent="1.35">
      <c r="K3" s="5"/>
      <c r="L3" s="5"/>
      <c r="M3" s="2"/>
      <c r="N3" s="20"/>
      <c r="O3" s="5"/>
    </row>
    <row r="4" spans="1:16" ht="64.5" hidden="1" customHeight="1" x14ac:dyDescent="1.35">
      <c r="B4" s="3"/>
      <c r="K4" s="5"/>
      <c r="L4" s="5"/>
      <c r="M4" s="2"/>
      <c r="N4" s="20"/>
      <c r="O4" s="5"/>
    </row>
    <row r="5" spans="1:16" ht="155.25" customHeight="1" x14ac:dyDescent="2.35">
      <c r="A5" s="131" t="s">
        <v>94</v>
      </c>
      <c r="B5" s="131"/>
      <c r="C5" s="131"/>
      <c r="D5" s="131"/>
      <c r="E5" s="131"/>
      <c r="F5" s="131"/>
      <c r="G5" s="131"/>
      <c r="H5" s="131"/>
      <c r="K5" s="5"/>
      <c r="L5" s="5"/>
      <c r="M5" s="2"/>
      <c r="N5" s="20"/>
      <c r="O5" s="5"/>
    </row>
    <row r="6" spans="1:16" ht="161.25" customHeight="1" x14ac:dyDescent="2.25">
      <c r="A6" s="130" t="s">
        <v>95</v>
      </c>
      <c r="B6" s="130"/>
      <c r="C6" s="130"/>
      <c r="D6" s="130"/>
      <c r="E6" s="130"/>
      <c r="F6" s="130"/>
      <c r="G6" s="130"/>
      <c r="H6" s="130"/>
      <c r="K6" s="5"/>
      <c r="L6" s="5"/>
      <c r="M6" s="2"/>
      <c r="N6" s="20"/>
      <c r="O6" s="5"/>
    </row>
    <row r="7" spans="1:16" ht="236.25" customHeight="1" thickBot="1" x14ac:dyDescent="2.1">
      <c r="A7" s="135" t="s">
        <v>101</v>
      </c>
      <c r="B7" s="135"/>
      <c r="C7" s="135"/>
      <c r="D7" s="135"/>
      <c r="E7" s="135"/>
      <c r="F7" s="135"/>
      <c r="G7" s="135"/>
      <c r="H7" s="135"/>
      <c r="K7" s="5"/>
      <c r="L7" s="5"/>
      <c r="M7" s="2"/>
      <c r="N7" s="20"/>
      <c r="O7" s="5"/>
    </row>
    <row r="8" spans="1:16" ht="236.25" hidden="1" customHeight="1" thickBot="1" x14ac:dyDescent="2.1">
      <c r="A8" s="125"/>
      <c r="B8" s="125"/>
      <c r="C8" s="125"/>
      <c r="D8" s="125"/>
      <c r="E8" s="125"/>
      <c r="F8" s="128"/>
      <c r="G8" s="128"/>
      <c r="K8" s="5"/>
      <c r="L8" s="5"/>
      <c r="M8" s="2"/>
      <c r="N8" s="20"/>
      <c r="O8" s="5"/>
    </row>
    <row r="9" spans="1:16" s="5" customFormat="1" ht="306" customHeight="1" thickBot="1" x14ac:dyDescent="1.4">
      <c r="A9" s="8" t="s">
        <v>93</v>
      </c>
      <c r="B9" s="8" t="s">
        <v>90</v>
      </c>
      <c r="C9" s="9" t="s">
        <v>91</v>
      </c>
      <c r="D9" s="118" t="s">
        <v>0</v>
      </c>
      <c r="E9" s="8" t="s">
        <v>1</v>
      </c>
      <c r="F9" s="126" t="s">
        <v>2</v>
      </c>
      <c r="G9" s="126" t="s">
        <v>3</v>
      </c>
      <c r="H9" s="10" t="s">
        <v>4</v>
      </c>
      <c r="I9" s="10" t="s">
        <v>5</v>
      </c>
      <c r="J9" s="10" t="s">
        <v>6</v>
      </c>
      <c r="K9" s="10" t="s">
        <v>7</v>
      </c>
      <c r="L9" s="10" t="s">
        <v>8</v>
      </c>
      <c r="M9" s="11" t="s">
        <v>9</v>
      </c>
      <c r="N9" s="12" t="s">
        <v>10</v>
      </c>
      <c r="O9" s="13" t="s">
        <v>11</v>
      </c>
      <c r="P9" s="100" t="s">
        <v>12</v>
      </c>
    </row>
    <row r="10" spans="1:16" ht="65.099999999999994" customHeight="1" x14ac:dyDescent="1.35">
      <c r="A10" s="105" t="s">
        <v>13</v>
      </c>
      <c r="B10" s="14"/>
      <c r="C10" s="14"/>
      <c r="D10" s="15"/>
      <c r="E10" s="16"/>
      <c r="F10" s="16"/>
      <c r="G10" s="16"/>
      <c r="H10" s="16"/>
      <c r="I10" s="17"/>
      <c r="J10" s="16"/>
      <c r="K10" s="17"/>
      <c r="L10" s="17"/>
      <c r="M10" s="15"/>
      <c r="N10" s="18"/>
      <c r="O10" s="17"/>
      <c r="P10" s="102"/>
    </row>
    <row r="11" spans="1:16" ht="65.099999999999994" customHeight="1" x14ac:dyDescent="1.35">
      <c r="A11" s="106" t="s">
        <v>97</v>
      </c>
      <c r="B11" s="101">
        <f t="shared" ref="B11:M11" si="0">SUM(B12:B16)</f>
        <v>267886394</v>
      </c>
      <c r="C11" s="30">
        <f t="shared" si="0"/>
        <v>0</v>
      </c>
      <c r="D11" s="31">
        <f>SUM(D12:D16)</f>
        <v>73389626.870000005</v>
      </c>
      <c r="E11" s="31">
        <f t="shared" si="0"/>
        <v>0</v>
      </c>
      <c r="F11" s="31">
        <f t="shared" si="0"/>
        <v>36884383.100000001</v>
      </c>
      <c r="G11" s="31">
        <f t="shared" si="0"/>
        <v>18189782.940000005</v>
      </c>
      <c r="H11" s="32">
        <f t="shared" si="0"/>
        <v>18315460.829999994</v>
      </c>
      <c r="I11" s="32">
        <f t="shared" si="0"/>
        <v>0</v>
      </c>
      <c r="J11" s="32">
        <f t="shared" si="0"/>
        <v>0</v>
      </c>
      <c r="K11" s="32">
        <f t="shared" si="0"/>
        <v>0</v>
      </c>
      <c r="L11" s="32">
        <f t="shared" si="0"/>
        <v>0</v>
      </c>
      <c r="M11" s="32">
        <f t="shared" si="0"/>
        <v>0</v>
      </c>
      <c r="N11" s="32">
        <f>SUM(N12:N16)</f>
        <v>0</v>
      </c>
      <c r="O11" s="32">
        <f>SUM(O12:O16)</f>
        <v>0</v>
      </c>
      <c r="P11" s="32">
        <f>SUM(P12:P16)</f>
        <v>0</v>
      </c>
    </row>
    <row r="12" spans="1:16" ht="65.099999999999994" customHeight="1" x14ac:dyDescent="1.35">
      <c r="A12" s="107" t="s">
        <v>14</v>
      </c>
      <c r="B12" s="34">
        <v>216206100</v>
      </c>
      <c r="C12" s="34">
        <v>-315710</v>
      </c>
      <c r="D12" s="129">
        <f>E12+F12+G12+H12</f>
        <v>62235052.799999997</v>
      </c>
      <c r="E12" s="36"/>
      <c r="F12" s="37">
        <f>31276776.4</f>
        <v>31276776.399999999</v>
      </c>
      <c r="G12" s="37">
        <f>46700164.6-E12-F12</f>
        <v>15423388.200000003</v>
      </c>
      <c r="H12" s="36">
        <f>62235052.8-E12-F12-G12</f>
        <v>15534888.199999996</v>
      </c>
      <c r="I12" s="38"/>
      <c r="J12" s="36"/>
      <c r="K12" s="39"/>
      <c r="L12" s="33"/>
      <c r="M12" s="35"/>
      <c r="N12" s="40"/>
      <c r="O12" s="33"/>
      <c r="P12" s="37"/>
    </row>
    <row r="13" spans="1:16" ht="65.099999999999994" customHeight="1" x14ac:dyDescent="1.35">
      <c r="A13" s="107" t="s">
        <v>15</v>
      </c>
      <c r="B13" s="34">
        <v>20710294</v>
      </c>
      <c r="C13" s="34">
        <v>1475710</v>
      </c>
      <c r="D13" s="129">
        <f t="shared" ref="D13:D16" si="1">E13+F13+G13+H13</f>
        <v>1652000</v>
      </c>
      <c r="E13" s="36"/>
      <c r="F13" s="37">
        <f>833000-E13</f>
        <v>833000</v>
      </c>
      <c r="G13" s="37">
        <f>1245000-E13-F13</f>
        <v>412000</v>
      </c>
      <c r="H13" s="36">
        <f>1652000-E13-F13-G13</f>
        <v>407000</v>
      </c>
      <c r="I13" s="38"/>
      <c r="J13" s="36"/>
      <c r="K13" s="39"/>
      <c r="L13" s="38"/>
      <c r="M13" s="38"/>
      <c r="N13" s="41"/>
      <c r="O13" s="42"/>
      <c r="P13" s="52"/>
    </row>
    <row r="14" spans="1:16" ht="65.099999999999994" customHeight="1" x14ac:dyDescent="1.35">
      <c r="A14" s="107" t="s">
        <v>16</v>
      </c>
      <c r="B14" s="34">
        <v>50000</v>
      </c>
      <c r="C14" s="34"/>
      <c r="D14" s="129">
        <f t="shared" si="1"/>
        <v>0</v>
      </c>
      <c r="E14" s="43">
        <v>0</v>
      </c>
      <c r="F14" s="44">
        <v>0</v>
      </c>
      <c r="G14" s="37">
        <v>0</v>
      </c>
      <c r="H14" s="36">
        <v>0</v>
      </c>
      <c r="I14" s="36"/>
      <c r="J14" s="36"/>
      <c r="K14" s="38"/>
      <c r="L14" s="42"/>
      <c r="M14" s="38"/>
      <c r="N14" s="41"/>
      <c r="O14" s="42"/>
      <c r="P14" s="52"/>
    </row>
    <row r="15" spans="1:16" ht="65.099999999999994" customHeight="1" x14ac:dyDescent="1.35">
      <c r="A15" s="107" t="s">
        <v>17</v>
      </c>
      <c r="B15" s="34">
        <v>0</v>
      </c>
      <c r="C15" s="34">
        <v>0</v>
      </c>
      <c r="D15" s="129">
        <f t="shared" si="1"/>
        <v>0</v>
      </c>
      <c r="E15" s="43">
        <v>0</v>
      </c>
      <c r="F15" s="44"/>
      <c r="G15" s="37">
        <v>0</v>
      </c>
      <c r="H15" s="45">
        <v>0</v>
      </c>
      <c r="I15" s="46"/>
      <c r="J15" s="36"/>
      <c r="K15" s="39"/>
      <c r="L15" s="46"/>
      <c r="M15" s="38"/>
      <c r="N15" s="41"/>
      <c r="O15" s="47"/>
    </row>
    <row r="16" spans="1:16" ht="65.099999999999994" customHeight="1" x14ac:dyDescent="1.35">
      <c r="A16" s="107" t="s">
        <v>18</v>
      </c>
      <c r="B16" s="34">
        <v>30920000</v>
      </c>
      <c r="C16" s="34">
        <v>-1160000</v>
      </c>
      <c r="D16" s="129">
        <f t="shared" si="1"/>
        <v>9502574.0700000003</v>
      </c>
      <c r="E16" s="36"/>
      <c r="F16" s="37">
        <f>4774606.7-E16</f>
        <v>4774606.7</v>
      </c>
      <c r="G16" s="37">
        <f>7129001.44-E16-F16</f>
        <v>2354394.7400000002</v>
      </c>
      <c r="H16" s="36">
        <f>9502574.07-E16-F16-G16</f>
        <v>2373572.63</v>
      </c>
      <c r="I16" s="38"/>
      <c r="J16" s="36"/>
      <c r="K16" s="39"/>
      <c r="L16" s="42"/>
      <c r="M16" s="38"/>
      <c r="N16" s="41"/>
      <c r="O16" s="42"/>
      <c r="P16" s="52"/>
    </row>
    <row r="17" spans="1:16" ht="134.25" customHeight="1" x14ac:dyDescent="1.35">
      <c r="A17" s="106" t="s">
        <v>19</v>
      </c>
      <c r="B17" s="30">
        <f t="shared" ref="B17:J17" si="2">SUM(B18:B26)</f>
        <v>47403392</v>
      </c>
      <c r="C17" s="30">
        <f t="shared" si="2"/>
        <v>7758199.8000000007</v>
      </c>
      <c r="D17" s="31">
        <f>SUM(D18:D26)</f>
        <v>8545591.9199999999</v>
      </c>
      <c r="E17" s="31">
        <f t="shared" si="2"/>
        <v>781070.9</v>
      </c>
      <c r="F17" s="120">
        <f t="shared" si="2"/>
        <v>3640391.5299999993</v>
      </c>
      <c r="G17" s="120">
        <f t="shared" si="2"/>
        <v>2407860.7300000004</v>
      </c>
      <c r="H17" s="32">
        <f>D17-6829323.16</f>
        <v>1716268.7599999998</v>
      </c>
      <c r="I17" s="32">
        <f>7758199.8-C17</f>
        <v>0</v>
      </c>
      <c r="J17" s="32">
        <f t="shared" si="2"/>
        <v>0</v>
      </c>
      <c r="K17" s="48">
        <f>C17-15570199.67</f>
        <v>-7811999.8699999992</v>
      </c>
      <c r="L17" s="49"/>
      <c r="M17" s="50"/>
      <c r="N17" s="41"/>
      <c r="O17" s="42"/>
    </row>
    <row r="18" spans="1:16" ht="65.099999999999994" customHeight="1" x14ac:dyDescent="1.35">
      <c r="A18" s="107" t="s">
        <v>20</v>
      </c>
      <c r="B18" s="34">
        <v>11075000</v>
      </c>
      <c r="C18" s="34">
        <v>390000</v>
      </c>
      <c r="D18" s="35">
        <f>E18+F18+G18+H18+I18+J18+K18+L18+M18+N18+O18+P18</f>
        <v>3458837.96</v>
      </c>
      <c r="E18" s="51">
        <v>781070.9</v>
      </c>
      <c r="F18" s="37">
        <f>1631078.96-E18</f>
        <v>850008.05999999994</v>
      </c>
      <c r="G18" s="37">
        <f>2553101.74-E18-F18</f>
        <v>922022.78000000038</v>
      </c>
      <c r="H18" s="36">
        <f>3458837.96-E18-F18-G18</f>
        <v>905736.21999999962</v>
      </c>
      <c r="I18" s="38"/>
      <c r="J18" s="36"/>
      <c r="K18" s="39"/>
      <c r="L18" s="42"/>
      <c r="M18" s="38"/>
      <c r="N18" s="41"/>
      <c r="O18" s="42"/>
      <c r="P18" s="52"/>
    </row>
    <row r="19" spans="1:16" ht="65.099999999999994" customHeight="1" x14ac:dyDescent="1.35">
      <c r="A19" s="107" t="s">
        <v>21</v>
      </c>
      <c r="B19" s="34">
        <v>2532392</v>
      </c>
      <c r="C19" s="34">
        <v>734180</v>
      </c>
      <c r="D19" s="35">
        <f t="shared" ref="D19:D36" si="3">E19+F19+G19+H19+I19+J19+K19+L19+M19+N19+O19+P19</f>
        <v>0</v>
      </c>
      <c r="E19" s="43">
        <v>0</v>
      </c>
      <c r="F19" s="44">
        <v>0</v>
      </c>
      <c r="G19" s="37">
        <v>0</v>
      </c>
      <c r="H19" s="52">
        <v>0</v>
      </c>
      <c r="I19" s="42"/>
      <c r="J19" s="52"/>
      <c r="K19" s="53"/>
      <c r="L19" s="47"/>
      <c r="M19" s="38"/>
      <c r="N19" s="41"/>
      <c r="O19" s="33"/>
      <c r="P19" s="45"/>
    </row>
    <row r="20" spans="1:16" ht="65.099999999999994" customHeight="1" x14ac:dyDescent="1.35">
      <c r="A20" s="107" t="s">
        <v>22</v>
      </c>
      <c r="B20" s="34">
        <v>6000000</v>
      </c>
      <c r="C20" s="34">
        <v>-1034180</v>
      </c>
      <c r="D20" s="35">
        <f t="shared" si="3"/>
        <v>0</v>
      </c>
      <c r="E20" s="43">
        <v>0</v>
      </c>
      <c r="F20" s="44">
        <v>0</v>
      </c>
      <c r="G20" s="37">
        <v>0</v>
      </c>
      <c r="H20" s="36">
        <v>0</v>
      </c>
      <c r="I20" s="38"/>
      <c r="J20" s="36"/>
      <c r="K20" s="54"/>
      <c r="L20" s="42"/>
      <c r="M20" s="38"/>
      <c r="N20" s="41"/>
      <c r="O20" s="42"/>
      <c r="P20" s="52"/>
    </row>
    <row r="21" spans="1:16" ht="65.099999999999994" customHeight="1" x14ac:dyDescent="1.35">
      <c r="A21" s="107" t="s">
        <v>23</v>
      </c>
      <c r="B21" s="34">
        <v>1386000</v>
      </c>
      <c r="C21" s="34">
        <v>296000</v>
      </c>
      <c r="D21" s="35">
        <f t="shared" si="3"/>
        <v>80000</v>
      </c>
      <c r="E21" s="43">
        <v>0</v>
      </c>
      <c r="F21" s="44">
        <v>0</v>
      </c>
      <c r="G21" s="37">
        <f>80000-E21-F21</f>
        <v>80000</v>
      </c>
      <c r="H21" s="36">
        <f>80000-E21-F21-G21</f>
        <v>0</v>
      </c>
      <c r="I21" s="38"/>
      <c r="J21" s="36"/>
      <c r="K21" s="39"/>
      <c r="L21" s="42"/>
      <c r="M21" s="38"/>
      <c r="N21" s="41"/>
      <c r="O21" s="42"/>
      <c r="P21" s="45"/>
    </row>
    <row r="22" spans="1:16" ht="65.099999999999994" customHeight="1" x14ac:dyDescent="1.35">
      <c r="A22" s="107" t="s">
        <v>24</v>
      </c>
      <c r="B22" s="34">
        <v>5725000</v>
      </c>
      <c r="C22" s="34">
        <v>4303000</v>
      </c>
      <c r="D22" s="35">
        <f t="shared" si="3"/>
        <v>1032730.3200000001</v>
      </c>
      <c r="E22" s="51">
        <v>0</v>
      </c>
      <c r="F22" s="44">
        <f>350268.04-E22</f>
        <v>350268.04</v>
      </c>
      <c r="G22" s="37">
        <f>469945.28-E22-F22</f>
        <v>119677.24000000005</v>
      </c>
      <c r="H22" s="36">
        <f>1032730.32-E22-F22-G22</f>
        <v>562785.04</v>
      </c>
      <c r="I22" s="38"/>
      <c r="J22" s="36"/>
      <c r="K22" s="55"/>
      <c r="L22" s="42"/>
      <c r="M22" s="38"/>
      <c r="N22" s="41"/>
      <c r="O22" s="42"/>
      <c r="P22" s="52"/>
    </row>
    <row r="23" spans="1:16" ht="65.099999999999994" customHeight="1" x14ac:dyDescent="1.35">
      <c r="A23" s="107" t="s">
        <v>25</v>
      </c>
      <c r="B23" s="34">
        <v>3700000</v>
      </c>
      <c r="C23" s="34">
        <v>-200000</v>
      </c>
      <c r="D23" s="35">
        <f>E23+F23+G23+H23</f>
        <v>513805.32</v>
      </c>
      <c r="E23" s="51"/>
      <c r="F23" s="37">
        <f>480332.12-E23</f>
        <v>480332.12</v>
      </c>
      <c r="G23" s="37">
        <f>498057.82-E23-F23</f>
        <v>17725.700000000012</v>
      </c>
      <c r="H23" s="36">
        <f>513805.32-E23-F23-G23</f>
        <v>15747.5</v>
      </c>
      <c r="I23" s="38"/>
      <c r="J23" s="36"/>
      <c r="K23" s="39"/>
      <c r="L23" s="42"/>
      <c r="M23" s="38"/>
      <c r="N23" s="41"/>
      <c r="O23" s="42"/>
      <c r="P23" s="52"/>
    </row>
    <row r="24" spans="1:16" ht="65.099999999999994" customHeight="1" x14ac:dyDescent="1.35">
      <c r="A24" s="107" t="s">
        <v>26</v>
      </c>
      <c r="B24" s="34">
        <v>2000000</v>
      </c>
      <c r="C24" s="34">
        <v>5470999.7999999998</v>
      </c>
      <c r="D24" s="35">
        <f>E24+F24+G24+H24+I24+J24+K24+L24+M24+N24+O24+P24</f>
        <v>2427918.31</v>
      </c>
      <c r="E24" s="43">
        <v>0</v>
      </c>
      <c r="F24" s="44">
        <f>1554783.3-E240</f>
        <v>1554783.3</v>
      </c>
      <c r="G24" s="37">
        <f>2427918.31-E24-F24</f>
        <v>873135.01</v>
      </c>
      <c r="H24" s="36">
        <f>2427918.31-E24-F24-G24</f>
        <v>0</v>
      </c>
      <c r="I24" s="38"/>
      <c r="J24" s="36"/>
      <c r="K24" s="39"/>
      <c r="L24" s="42"/>
      <c r="M24" s="38"/>
      <c r="N24" s="41"/>
      <c r="O24" s="42"/>
      <c r="P24" s="52"/>
    </row>
    <row r="25" spans="1:16" ht="65.099999999999994" customHeight="1" x14ac:dyDescent="1.35">
      <c r="A25" s="107" t="s">
        <v>27</v>
      </c>
      <c r="B25" s="34">
        <v>5885000</v>
      </c>
      <c r="C25" s="34">
        <v>258000</v>
      </c>
      <c r="D25" s="35">
        <f t="shared" si="3"/>
        <v>800300.01</v>
      </c>
      <c r="E25" s="43">
        <v>0</v>
      </c>
      <c r="F25" s="44">
        <f>405000.01-E25</f>
        <v>405000.01</v>
      </c>
      <c r="G25" s="37">
        <f>800300.01-E25-F25</f>
        <v>395300</v>
      </c>
      <c r="H25" s="36">
        <f>800300.01-E25-F25-G25</f>
        <v>0</v>
      </c>
      <c r="I25" s="38"/>
      <c r="J25" s="36"/>
      <c r="K25" s="39"/>
      <c r="L25" s="42"/>
      <c r="M25" s="38"/>
      <c r="N25" s="41"/>
      <c r="O25" s="42"/>
      <c r="P25" s="52"/>
    </row>
    <row r="26" spans="1:16" ht="99.75" customHeight="1" x14ac:dyDescent="1.35">
      <c r="A26" s="107" t="s">
        <v>89</v>
      </c>
      <c r="B26" s="34">
        <v>9100000</v>
      </c>
      <c r="C26" s="34">
        <v>-2459800</v>
      </c>
      <c r="D26" s="35">
        <f t="shared" si="3"/>
        <v>232000</v>
      </c>
      <c r="E26" s="43">
        <v>0</v>
      </c>
      <c r="F26" s="44">
        <v>0</v>
      </c>
      <c r="G26" s="37">
        <v>0</v>
      </c>
      <c r="H26" s="36">
        <f>232000-E26-F26-G26</f>
        <v>232000</v>
      </c>
      <c r="I26" s="42"/>
      <c r="J26" s="52"/>
      <c r="K26" s="53"/>
      <c r="L26" s="42"/>
      <c r="M26" s="38"/>
      <c r="N26" s="41"/>
      <c r="O26" s="42"/>
      <c r="P26" s="52"/>
    </row>
    <row r="27" spans="1:16" ht="95.25" customHeight="1" x14ac:dyDescent="1.35">
      <c r="A27" s="106" t="s">
        <v>28</v>
      </c>
      <c r="B27" s="30">
        <f t="shared" ref="B27:J27" si="4">SUM(B28:B36)</f>
        <v>12490000</v>
      </c>
      <c r="C27" s="30">
        <f t="shared" si="4"/>
        <v>8521773.2599999998</v>
      </c>
      <c r="D27" s="31">
        <f t="shared" si="4"/>
        <v>5730159.4000000004</v>
      </c>
      <c r="E27" s="31">
        <f t="shared" si="4"/>
        <v>422000</v>
      </c>
      <c r="F27" s="31">
        <f>SUM(F28:F36)</f>
        <v>2572080.25</v>
      </c>
      <c r="G27" s="31">
        <f>SUM(G28:G36)</f>
        <v>1279346.23</v>
      </c>
      <c r="H27" s="31">
        <f>SUM(H28:H36)</f>
        <v>1456732.9200000002</v>
      </c>
      <c r="I27" s="32"/>
      <c r="J27" s="32">
        <f t="shared" si="4"/>
        <v>0</v>
      </c>
      <c r="K27" s="56"/>
      <c r="L27" s="49"/>
      <c r="M27" s="50"/>
      <c r="N27" s="41"/>
      <c r="O27" s="46"/>
    </row>
    <row r="28" spans="1:16" ht="96" customHeight="1" x14ac:dyDescent="1.35">
      <c r="A28" s="107" t="s">
        <v>29</v>
      </c>
      <c r="B28" s="34">
        <v>1100000</v>
      </c>
      <c r="C28" s="34">
        <v>0</v>
      </c>
      <c r="D28" s="35">
        <f t="shared" si="3"/>
        <v>150660</v>
      </c>
      <c r="E28" s="43">
        <v>0</v>
      </c>
      <c r="F28" s="37">
        <v>0</v>
      </c>
      <c r="G28" s="37">
        <f>140520-E28-F28</f>
        <v>140520</v>
      </c>
      <c r="H28" s="36">
        <f>150660-E28-F28-G28</f>
        <v>10140</v>
      </c>
      <c r="I28" s="38"/>
      <c r="J28" s="36"/>
      <c r="K28" s="39"/>
      <c r="L28" s="42"/>
      <c r="M28" s="38"/>
      <c r="N28" s="41"/>
      <c r="O28" s="42"/>
      <c r="P28" s="52"/>
    </row>
    <row r="29" spans="1:16" ht="65.099999999999994" customHeight="1" x14ac:dyDescent="1.35">
      <c r="A29" s="107" t="s">
        <v>30</v>
      </c>
      <c r="B29" s="34">
        <v>0</v>
      </c>
      <c r="C29" s="34">
        <v>1228000</v>
      </c>
      <c r="D29" s="35">
        <f t="shared" si="3"/>
        <v>393530</v>
      </c>
      <c r="E29" s="43">
        <v>0</v>
      </c>
      <c r="F29" s="44">
        <f>233640-E29</f>
        <v>233640</v>
      </c>
      <c r="G29" s="37">
        <f>233640-E29-F29</f>
        <v>0</v>
      </c>
      <c r="H29" s="52">
        <f>393530-E29-F29-G29</f>
        <v>159890</v>
      </c>
      <c r="I29" s="42"/>
      <c r="J29" s="52"/>
      <c r="K29" s="53"/>
      <c r="L29" s="47"/>
      <c r="M29" s="38"/>
      <c r="N29" s="41"/>
      <c r="O29" s="47"/>
      <c r="P29" s="45"/>
    </row>
    <row r="30" spans="1:16" ht="65.099999999999994" customHeight="1" x14ac:dyDescent="1.35">
      <c r="A30" s="107" t="s">
        <v>31</v>
      </c>
      <c r="B30" s="34">
        <v>1810000</v>
      </c>
      <c r="C30" s="34">
        <v>248000</v>
      </c>
      <c r="D30" s="35">
        <f t="shared" si="3"/>
        <v>323809.7</v>
      </c>
      <c r="E30" s="43">
        <v>0</v>
      </c>
      <c r="F30" s="44">
        <v>0</v>
      </c>
      <c r="G30" s="37">
        <f>76110-E30-F30</f>
        <v>76110</v>
      </c>
      <c r="H30" s="36">
        <f>323809.7-F30-G30</f>
        <v>247699.7</v>
      </c>
      <c r="I30" s="57"/>
      <c r="J30" s="36"/>
      <c r="K30" s="39"/>
      <c r="L30" s="42"/>
      <c r="M30" s="38"/>
      <c r="N30" s="41"/>
      <c r="O30" s="42"/>
      <c r="P30" s="52"/>
    </row>
    <row r="31" spans="1:16" ht="65.099999999999994" customHeight="1" x14ac:dyDescent="1.35">
      <c r="A31" s="107" t="s">
        <v>32</v>
      </c>
      <c r="B31" s="34">
        <v>0</v>
      </c>
      <c r="C31" s="34">
        <v>21000</v>
      </c>
      <c r="D31" s="35">
        <f t="shared" si="3"/>
        <v>0</v>
      </c>
      <c r="E31" s="43">
        <v>0</v>
      </c>
      <c r="F31" s="44">
        <v>0</v>
      </c>
      <c r="G31" s="37">
        <v>0</v>
      </c>
      <c r="H31" s="58">
        <v>0</v>
      </c>
      <c r="I31" s="46"/>
      <c r="J31" s="59"/>
      <c r="K31" s="60"/>
      <c r="L31" s="47"/>
      <c r="M31" s="38"/>
      <c r="N31" s="41"/>
      <c r="O31" s="42"/>
    </row>
    <row r="32" spans="1:16" ht="65.099999999999994" customHeight="1" x14ac:dyDescent="1.35">
      <c r="A32" s="107" t="s">
        <v>33</v>
      </c>
      <c r="B32" s="34">
        <v>330000</v>
      </c>
      <c r="C32" s="34">
        <v>444800</v>
      </c>
      <c r="D32" s="35">
        <f t="shared" si="3"/>
        <v>0</v>
      </c>
      <c r="E32" s="43">
        <v>0</v>
      </c>
      <c r="F32" s="44">
        <v>0</v>
      </c>
      <c r="G32" s="37">
        <v>0</v>
      </c>
      <c r="H32" s="52">
        <v>0</v>
      </c>
      <c r="I32" s="42"/>
      <c r="J32" s="52"/>
      <c r="K32" s="53"/>
      <c r="L32" s="42"/>
      <c r="M32" s="38"/>
      <c r="N32" s="41"/>
      <c r="O32" s="42"/>
      <c r="P32" s="52"/>
    </row>
    <row r="33" spans="1:16" ht="65.099999999999994" customHeight="1" x14ac:dyDescent="1.35">
      <c r="A33" s="107" t="s">
        <v>34</v>
      </c>
      <c r="B33" s="34">
        <v>40000</v>
      </c>
      <c r="C33" s="34">
        <v>55200</v>
      </c>
      <c r="D33" s="35">
        <f t="shared" si="3"/>
        <v>46515.6</v>
      </c>
      <c r="E33" s="43">
        <v>0</v>
      </c>
      <c r="F33" s="44">
        <v>0</v>
      </c>
      <c r="G33" s="37">
        <v>0</v>
      </c>
      <c r="H33" s="45">
        <f>46515.6-E33--F33-G33</f>
        <v>46515.6</v>
      </c>
      <c r="I33" s="61"/>
      <c r="J33" s="58"/>
      <c r="K33" s="60"/>
      <c r="L33" s="47"/>
      <c r="M33" s="38"/>
      <c r="N33" s="41"/>
      <c r="O33" s="42"/>
      <c r="P33" s="52"/>
    </row>
    <row r="34" spans="1:16" ht="65.099999999999994" customHeight="1" x14ac:dyDescent="1.35">
      <c r="A34" s="107" t="s">
        <v>35</v>
      </c>
      <c r="B34" s="34">
        <v>7550000</v>
      </c>
      <c r="C34" s="34">
        <v>4135700</v>
      </c>
      <c r="D34" s="35">
        <f>E34+F34+G34+H34+I34+J34+K34+L34+M34+N34+O34+P34</f>
        <v>3302349.5</v>
      </c>
      <c r="E34" s="62">
        <v>422000</v>
      </c>
      <c r="F34" s="44">
        <f>2034000-E34</f>
        <v>1612000</v>
      </c>
      <c r="G34" s="63">
        <f>2441000-E34-F34</f>
        <v>407000</v>
      </c>
      <c r="H34" s="36">
        <f>3302349.5-E34-F34-G34</f>
        <v>861349.5</v>
      </c>
      <c r="I34" s="38"/>
      <c r="J34" s="64"/>
      <c r="K34" s="39"/>
      <c r="L34" s="65"/>
      <c r="M34" s="66"/>
      <c r="N34" s="67"/>
      <c r="O34" s="42"/>
      <c r="P34" s="103"/>
    </row>
    <row r="35" spans="1:16" s="23" customFormat="1" ht="65.099999999999994" customHeight="1" x14ac:dyDescent="1.35">
      <c r="A35" s="107" t="s">
        <v>36</v>
      </c>
      <c r="B35" s="34">
        <v>0</v>
      </c>
      <c r="C35" s="34"/>
      <c r="D35" s="35">
        <f t="shared" si="3"/>
        <v>0</v>
      </c>
      <c r="E35" s="68">
        <v>0</v>
      </c>
      <c r="F35" s="44">
        <v>0</v>
      </c>
      <c r="G35" s="63">
        <v>0</v>
      </c>
      <c r="H35" s="69">
        <v>0</v>
      </c>
      <c r="I35" s="70"/>
      <c r="J35" s="69"/>
      <c r="K35" s="71"/>
      <c r="L35" s="70"/>
      <c r="M35" s="69"/>
      <c r="N35" s="67"/>
      <c r="O35" s="42"/>
      <c r="P35" s="69"/>
    </row>
    <row r="36" spans="1:16" ht="65.099999999999994" customHeight="1" x14ac:dyDescent="1.35">
      <c r="A36" s="107" t="s">
        <v>37</v>
      </c>
      <c r="B36" s="34">
        <v>1660000</v>
      </c>
      <c r="C36" s="34">
        <v>2389073.2599999998</v>
      </c>
      <c r="D36" s="35">
        <f t="shared" si="3"/>
        <v>1513294.6</v>
      </c>
      <c r="E36" s="43">
        <v>0</v>
      </c>
      <c r="F36" s="44">
        <f>726440.25-E36</f>
        <v>726440.25</v>
      </c>
      <c r="G36" s="37">
        <f>1382156.48-E36-F36</f>
        <v>655716.23</v>
      </c>
      <c r="H36" s="36">
        <f>1513294.6-E36-F36-G36</f>
        <v>131138.12000000011</v>
      </c>
      <c r="I36" s="38"/>
      <c r="J36" s="36"/>
      <c r="K36" s="39"/>
      <c r="L36" s="42"/>
      <c r="M36" s="38"/>
      <c r="N36" s="41"/>
      <c r="O36" s="42"/>
      <c r="P36" s="52"/>
    </row>
    <row r="37" spans="1:16" ht="219.75" customHeight="1" x14ac:dyDescent="1.35">
      <c r="A37" s="106" t="s">
        <v>38</v>
      </c>
      <c r="B37" s="72">
        <f t="shared" ref="B37:J37" si="5">SUM(B38:B44)</f>
        <v>0</v>
      </c>
      <c r="C37" s="72">
        <f t="shared" si="5"/>
        <v>0</v>
      </c>
      <c r="D37" s="31">
        <f t="shared" si="5"/>
        <v>0</v>
      </c>
      <c r="E37" s="31">
        <f t="shared" si="5"/>
        <v>0</v>
      </c>
      <c r="F37" s="31">
        <f t="shared" si="5"/>
        <v>0</v>
      </c>
      <c r="G37" s="31">
        <f t="shared" si="5"/>
        <v>0</v>
      </c>
      <c r="H37" s="31">
        <f t="shared" si="5"/>
        <v>0</v>
      </c>
      <c r="I37" s="31">
        <f t="shared" si="5"/>
        <v>0</v>
      </c>
      <c r="J37" s="31">
        <f t="shared" si="5"/>
        <v>0</v>
      </c>
      <c r="K37" s="56">
        <v>0</v>
      </c>
      <c r="L37" s="49"/>
      <c r="M37" s="66">
        <f>1226944.14-E35-F35-G35-H35-I35-J35-K35-L35</f>
        <v>1226944.1399999999</v>
      </c>
      <c r="N37" s="41"/>
      <c r="O37" s="46"/>
    </row>
    <row r="38" spans="1:16" ht="65.099999999999994" customHeight="1" x14ac:dyDescent="1.35">
      <c r="A38" s="107" t="s">
        <v>39</v>
      </c>
      <c r="B38" s="30">
        <v>0</v>
      </c>
      <c r="C38" s="30">
        <v>0</v>
      </c>
      <c r="D38" s="35">
        <f t="shared" ref="D38:D52" si="6">SUM(E38:P38)</f>
        <v>0</v>
      </c>
      <c r="E38" s="43">
        <v>0</v>
      </c>
      <c r="F38" s="44">
        <v>0</v>
      </c>
      <c r="G38" s="37">
        <v>0</v>
      </c>
      <c r="H38" s="59">
        <v>0</v>
      </c>
      <c r="I38" s="46">
        <v>0</v>
      </c>
      <c r="J38" s="59"/>
      <c r="K38" s="73"/>
      <c r="L38" s="46"/>
      <c r="M38" s="38"/>
      <c r="N38" s="41"/>
      <c r="O38" s="46"/>
    </row>
    <row r="39" spans="1:16" ht="65.099999999999994" customHeight="1" x14ac:dyDescent="1.35">
      <c r="A39" s="107" t="s">
        <v>40</v>
      </c>
      <c r="B39" s="30">
        <v>0</v>
      </c>
      <c r="C39" s="30">
        <v>0</v>
      </c>
      <c r="D39" s="35">
        <f t="shared" si="6"/>
        <v>0</v>
      </c>
      <c r="E39" s="43">
        <v>0</v>
      </c>
      <c r="F39" s="44">
        <v>0</v>
      </c>
      <c r="G39" s="37">
        <v>0</v>
      </c>
      <c r="H39" s="59">
        <v>0</v>
      </c>
      <c r="I39" s="46">
        <v>0</v>
      </c>
      <c r="J39" s="59"/>
      <c r="K39" s="73">
        <v>0</v>
      </c>
      <c r="L39" s="46"/>
      <c r="M39" s="38"/>
      <c r="N39" s="41"/>
      <c r="O39" s="46"/>
    </row>
    <row r="40" spans="1:16" ht="65.099999999999994" customHeight="1" x14ac:dyDescent="1.35">
      <c r="A40" s="107" t="s">
        <v>41</v>
      </c>
      <c r="B40" s="30">
        <v>0</v>
      </c>
      <c r="C40" s="30">
        <v>0</v>
      </c>
      <c r="D40" s="35">
        <f t="shared" si="6"/>
        <v>0</v>
      </c>
      <c r="E40" s="43">
        <v>0</v>
      </c>
      <c r="F40" s="44">
        <v>0</v>
      </c>
      <c r="G40" s="37">
        <v>0</v>
      </c>
      <c r="H40" s="59">
        <v>0</v>
      </c>
      <c r="I40" s="46">
        <v>0</v>
      </c>
      <c r="J40" s="59"/>
      <c r="K40" s="73">
        <v>0</v>
      </c>
      <c r="L40" s="46"/>
      <c r="M40" s="38"/>
      <c r="N40" s="41"/>
      <c r="O40" s="46"/>
    </row>
    <row r="41" spans="1:16" ht="65.099999999999994" customHeight="1" x14ac:dyDescent="1.35">
      <c r="A41" s="107" t="s">
        <v>42</v>
      </c>
      <c r="B41" s="30">
        <v>0</v>
      </c>
      <c r="C41" s="30">
        <v>0</v>
      </c>
      <c r="D41" s="35">
        <f t="shared" si="6"/>
        <v>0</v>
      </c>
      <c r="E41" s="43">
        <v>0</v>
      </c>
      <c r="F41" s="44">
        <v>0</v>
      </c>
      <c r="G41" s="37">
        <v>0</v>
      </c>
      <c r="H41" s="59">
        <v>0</v>
      </c>
      <c r="I41" s="46">
        <v>0</v>
      </c>
      <c r="J41" s="59"/>
      <c r="K41" s="73">
        <v>0</v>
      </c>
      <c r="L41" s="46"/>
      <c r="M41" s="38"/>
      <c r="N41" s="41"/>
      <c r="O41" s="46"/>
    </row>
    <row r="42" spans="1:16" ht="65.099999999999994" customHeight="1" x14ac:dyDescent="1.35">
      <c r="A42" s="107" t="s">
        <v>43</v>
      </c>
      <c r="B42" s="30">
        <v>0</v>
      </c>
      <c r="C42" s="30">
        <v>0</v>
      </c>
      <c r="D42" s="35">
        <f t="shared" si="6"/>
        <v>0</v>
      </c>
      <c r="E42" s="43">
        <v>0</v>
      </c>
      <c r="F42" s="44">
        <v>0</v>
      </c>
      <c r="G42" s="37">
        <v>0</v>
      </c>
      <c r="H42" s="59">
        <v>0</v>
      </c>
      <c r="I42" s="46">
        <v>0</v>
      </c>
      <c r="J42" s="59"/>
      <c r="K42" s="73">
        <v>0</v>
      </c>
      <c r="L42" s="46"/>
      <c r="M42" s="38"/>
      <c r="N42" s="41"/>
      <c r="O42" s="46"/>
    </row>
    <row r="43" spans="1:16" ht="65.099999999999994" customHeight="1" x14ac:dyDescent="1.35">
      <c r="A43" s="107" t="s">
        <v>44</v>
      </c>
      <c r="B43" s="30">
        <v>0</v>
      </c>
      <c r="C43" s="30">
        <v>0</v>
      </c>
      <c r="D43" s="35">
        <f t="shared" si="6"/>
        <v>0</v>
      </c>
      <c r="E43" s="43">
        <v>0</v>
      </c>
      <c r="F43" s="44">
        <v>0</v>
      </c>
      <c r="G43" s="37">
        <v>0</v>
      </c>
      <c r="H43" s="59">
        <v>0</v>
      </c>
      <c r="I43" s="46">
        <v>0</v>
      </c>
      <c r="J43" s="59"/>
      <c r="K43" s="73">
        <v>0</v>
      </c>
      <c r="L43" s="46"/>
      <c r="M43" s="38"/>
      <c r="N43" s="41"/>
      <c r="O43" s="46"/>
    </row>
    <row r="44" spans="1:16" ht="65.099999999999994" customHeight="1" x14ac:dyDescent="1.35">
      <c r="A44" s="107" t="s">
        <v>45</v>
      </c>
      <c r="B44" s="30">
        <v>0</v>
      </c>
      <c r="C44" s="30">
        <v>0</v>
      </c>
      <c r="D44" s="35">
        <f t="shared" si="6"/>
        <v>0</v>
      </c>
      <c r="E44" s="43">
        <v>0</v>
      </c>
      <c r="F44" s="44">
        <v>0</v>
      </c>
      <c r="G44" s="37">
        <v>0</v>
      </c>
      <c r="H44" s="59">
        <v>0</v>
      </c>
      <c r="I44" s="46">
        <v>0</v>
      </c>
      <c r="J44" s="59"/>
      <c r="K44" s="73">
        <v>0</v>
      </c>
      <c r="L44" s="46"/>
      <c r="M44" s="38"/>
      <c r="N44" s="41"/>
      <c r="O44" s="46"/>
    </row>
    <row r="45" spans="1:16" ht="139.5" customHeight="1" x14ac:dyDescent="1.35">
      <c r="A45" s="106" t="s">
        <v>46</v>
      </c>
      <c r="B45" s="72">
        <f t="shared" ref="B45:J45" si="7">SUM(B46:B52)</f>
        <v>0</v>
      </c>
      <c r="C45" s="72">
        <f t="shared" si="7"/>
        <v>0</v>
      </c>
      <c r="D45" s="31">
        <f t="shared" si="7"/>
        <v>0</v>
      </c>
      <c r="E45" s="31">
        <f t="shared" si="7"/>
        <v>0</v>
      </c>
      <c r="F45" s="31">
        <f t="shared" si="7"/>
        <v>0</v>
      </c>
      <c r="G45" s="31">
        <f t="shared" si="7"/>
        <v>0</v>
      </c>
      <c r="H45" s="31">
        <f t="shared" si="7"/>
        <v>0</v>
      </c>
      <c r="I45" s="31">
        <f t="shared" si="7"/>
        <v>0</v>
      </c>
      <c r="J45" s="31">
        <f t="shared" si="7"/>
        <v>0</v>
      </c>
      <c r="K45" s="56"/>
      <c r="L45" s="49"/>
      <c r="M45" s="50"/>
      <c r="N45" s="41"/>
      <c r="O45" s="46"/>
    </row>
    <row r="46" spans="1:16" ht="65.099999999999994" customHeight="1" x14ac:dyDescent="1.35">
      <c r="A46" s="107" t="s">
        <v>47</v>
      </c>
      <c r="B46" s="30">
        <v>0</v>
      </c>
      <c r="C46" s="30">
        <v>0</v>
      </c>
      <c r="D46" s="35">
        <f t="shared" si="6"/>
        <v>0</v>
      </c>
      <c r="E46" s="43">
        <v>0</v>
      </c>
      <c r="F46" s="37">
        <v>0</v>
      </c>
      <c r="G46" s="37">
        <v>0</v>
      </c>
      <c r="H46" s="59">
        <v>0</v>
      </c>
      <c r="I46" s="46">
        <v>0</v>
      </c>
      <c r="J46" s="59"/>
      <c r="K46" s="73"/>
      <c r="L46" s="46"/>
      <c r="M46" s="38"/>
      <c r="N46" s="41"/>
      <c r="O46" s="46"/>
    </row>
    <row r="47" spans="1:16" ht="65.099999999999994" customHeight="1" x14ac:dyDescent="1.35">
      <c r="A47" s="107" t="s">
        <v>48</v>
      </c>
      <c r="B47" s="30">
        <v>0</v>
      </c>
      <c r="C47" s="30">
        <v>0</v>
      </c>
      <c r="D47" s="35">
        <f t="shared" si="6"/>
        <v>0</v>
      </c>
      <c r="E47" s="43"/>
      <c r="F47" s="37">
        <v>0</v>
      </c>
      <c r="G47" s="37">
        <v>0</v>
      </c>
      <c r="H47" s="59">
        <v>0</v>
      </c>
      <c r="I47" s="46">
        <v>0</v>
      </c>
      <c r="J47" s="59"/>
      <c r="K47" s="73">
        <v>0</v>
      </c>
      <c r="L47" s="46"/>
      <c r="M47" s="38"/>
      <c r="N47" s="41"/>
      <c r="O47" s="46"/>
    </row>
    <row r="48" spans="1:16" ht="65.099999999999994" customHeight="1" x14ac:dyDescent="1.35">
      <c r="A48" s="107" t="s">
        <v>49</v>
      </c>
      <c r="B48" s="30">
        <v>0</v>
      </c>
      <c r="C48" s="30">
        <v>0</v>
      </c>
      <c r="D48" s="35">
        <f t="shared" si="6"/>
        <v>0</v>
      </c>
      <c r="E48" s="43">
        <v>0</v>
      </c>
      <c r="F48" s="37">
        <v>0</v>
      </c>
      <c r="G48" s="37">
        <v>0</v>
      </c>
      <c r="H48" s="59">
        <v>0</v>
      </c>
      <c r="I48" s="46">
        <v>0</v>
      </c>
      <c r="J48" s="59"/>
      <c r="K48" s="73">
        <v>0</v>
      </c>
      <c r="L48" s="46"/>
      <c r="M48" s="38"/>
      <c r="N48" s="41"/>
      <c r="O48" s="46"/>
    </row>
    <row r="49" spans="1:16" ht="65.099999999999994" customHeight="1" x14ac:dyDescent="1.35">
      <c r="A49" s="107" t="s">
        <v>50</v>
      </c>
      <c r="B49" s="30">
        <v>0</v>
      </c>
      <c r="C49" s="30">
        <v>0</v>
      </c>
      <c r="D49" s="35">
        <f t="shared" si="6"/>
        <v>0</v>
      </c>
      <c r="E49" s="43">
        <v>0</v>
      </c>
      <c r="F49" s="37">
        <v>0</v>
      </c>
      <c r="G49" s="37">
        <v>0</v>
      </c>
      <c r="H49" s="59">
        <v>0</v>
      </c>
      <c r="I49" s="46">
        <v>0</v>
      </c>
      <c r="J49" s="59"/>
      <c r="K49" s="73">
        <v>0</v>
      </c>
      <c r="L49" s="46"/>
      <c r="M49" s="38"/>
      <c r="N49" s="41"/>
      <c r="O49" s="46"/>
    </row>
    <row r="50" spans="1:16" ht="65.099999999999994" customHeight="1" x14ac:dyDescent="1.35">
      <c r="A50" s="107" t="s">
        <v>51</v>
      </c>
      <c r="B50" s="30">
        <v>0</v>
      </c>
      <c r="C50" s="30">
        <v>0</v>
      </c>
      <c r="D50" s="35">
        <f t="shared" si="6"/>
        <v>0</v>
      </c>
      <c r="E50" s="43">
        <v>0</v>
      </c>
      <c r="F50" s="37">
        <v>0</v>
      </c>
      <c r="G50" s="37">
        <v>0</v>
      </c>
      <c r="H50" s="59">
        <v>0</v>
      </c>
      <c r="I50" s="46">
        <v>0</v>
      </c>
      <c r="J50" s="59"/>
      <c r="K50" s="73">
        <v>0</v>
      </c>
      <c r="L50" s="46"/>
      <c r="M50" s="38"/>
      <c r="N50" s="41"/>
      <c r="O50" s="46"/>
    </row>
    <row r="51" spans="1:16" ht="65.099999999999994" customHeight="1" x14ac:dyDescent="1.35">
      <c r="A51" s="107" t="s">
        <v>52</v>
      </c>
      <c r="B51" s="30">
        <v>0</v>
      </c>
      <c r="C51" s="30">
        <v>0</v>
      </c>
      <c r="D51" s="35">
        <f t="shared" si="6"/>
        <v>0</v>
      </c>
      <c r="E51" s="43">
        <v>0</v>
      </c>
      <c r="F51" s="37">
        <v>0</v>
      </c>
      <c r="G51" s="37">
        <v>0</v>
      </c>
      <c r="H51" s="59">
        <v>0</v>
      </c>
      <c r="I51" s="46">
        <v>0</v>
      </c>
      <c r="J51" s="59"/>
      <c r="K51" s="73">
        <v>0</v>
      </c>
      <c r="L51" s="46"/>
      <c r="M51" s="38"/>
      <c r="N51" s="41"/>
      <c r="O51" s="46"/>
    </row>
    <row r="52" spans="1:16" ht="65.099999999999994" customHeight="1" x14ac:dyDescent="1.35">
      <c r="A52" s="107" t="s">
        <v>53</v>
      </c>
      <c r="B52" s="30">
        <v>0</v>
      </c>
      <c r="C52" s="30">
        <v>0</v>
      </c>
      <c r="D52" s="35">
        <f t="shared" si="6"/>
        <v>0</v>
      </c>
      <c r="E52" s="43">
        <v>0</v>
      </c>
      <c r="F52" s="37">
        <v>0</v>
      </c>
      <c r="G52" s="37">
        <v>0</v>
      </c>
      <c r="H52" s="59">
        <v>0</v>
      </c>
      <c r="I52" s="46">
        <v>0</v>
      </c>
      <c r="J52" s="59"/>
      <c r="K52" s="73">
        <v>0</v>
      </c>
      <c r="L52" s="46"/>
      <c r="M52" s="38"/>
      <c r="N52" s="41"/>
      <c r="O52" s="46"/>
    </row>
    <row r="53" spans="1:16" ht="235.5" customHeight="1" x14ac:dyDescent="1.35">
      <c r="A53" s="106" t="s">
        <v>54</v>
      </c>
      <c r="B53" s="30">
        <f t="shared" ref="B53:J53" si="8">SUM(B54:B62)</f>
        <v>3200000</v>
      </c>
      <c r="C53" s="30">
        <f t="shared" si="8"/>
        <v>5555647.9800000004</v>
      </c>
      <c r="D53" s="30">
        <f t="shared" si="8"/>
        <v>1509455.77</v>
      </c>
      <c r="E53" s="31">
        <f t="shared" si="8"/>
        <v>0</v>
      </c>
      <c r="F53" s="31">
        <f t="shared" si="8"/>
        <v>951988.95</v>
      </c>
      <c r="G53" s="31">
        <f t="shared" si="8"/>
        <v>557466.82000000007</v>
      </c>
      <c r="H53" s="32">
        <f t="shared" si="8"/>
        <v>0</v>
      </c>
      <c r="I53" s="32">
        <f t="shared" si="8"/>
        <v>0</v>
      </c>
      <c r="J53" s="32">
        <f t="shared" si="8"/>
        <v>0</v>
      </c>
      <c r="K53" s="56"/>
      <c r="L53" s="49"/>
      <c r="M53" s="50"/>
      <c r="N53" s="41"/>
      <c r="O53" s="46"/>
    </row>
    <row r="54" spans="1:16" ht="65.099999999999994" customHeight="1" x14ac:dyDescent="1.35">
      <c r="A54" s="107" t="s">
        <v>55</v>
      </c>
      <c r="B54" s="34">
        <v>2500000</v>
      </c>
      <c r="C54" s="34">
        <v>3183000</v>
      </c>
      <c r="D54" s="35">
        <f>E54+F54+G54</f>
        <v>1172673.77</v>
      </c>
      <c r="E54" s="43"/>
      <c r="F54" s="37">
        <f>951988.95</f>
        <v>951988.95</v>
      </c>
      <c r="G54" s="37">
        <f>1172673.77-E54-F54</f>
        <v>220684.82000000007</v>
      </c>
      <c r="H54" s="36">
        <f>1172673.77-E54-F54-G54</f>
        <v>0</v>
      </c>
      <c r="I54" s="38"/>
      <c r="J54" s="36"/>
      <c r="K54" s="39"/>
      <c r="L54" s="42"/>
      <c r="M54" s="38"/>
      <c r="N54" s="41"/>
      <c r="O54" s="42"/>
      <c r="P54" s="52"/>
    </row>
    <row r="55" spans="1:16" ht="65.099999999999994" customHeight="1" x14ac:dyDescent="1.35">
      <c r="A55" s="107" t="s">
        <v>56</v>
      </c>
      <c r="B55" s="34">
        <v>0</v>
      </c>
      <c r="C55" s="34">
        <v>1367000.49</v>
      </c>
      <c r="D55" s="35">
        <f t="shared" ref="D55:D62" si="9">E55+F55+G55+H55+I55+J55+K55+L55+M55+N55+O55+P55</f>
        <v>88782</v>
      </c>
      <c r="E55" s="43">
        <v>0</v>
      </c>
      <c r="F55" s="37">
        <v>0</v>
      </c>
      <c r="G55" s="37">
        <f>88782-E55-F55</f>
        <v>88782</v>
      </c>
      <c r="H55" s="45">
        <f>88782-E55-F55-G55</f>
        <v>0</v>
      </c>
      <c r="I55" s="61"/>
      <c r="J55" s="45"/>
      <c r="K55" s="60"/>
      <c r="L55" s="61"/>
      <c r="M55" s="38"/>
      <c r="N55" s="41"/>
      <c r="O55" s="42"/>
      <c r="P55" s="45"/>
    </row>
    <row r="56" spans="1:16" ht="65.099999999999994" customHeight="1" x14ac:dyDescent="1.35">
      <c r="A56" s="107" t="s">
        <v>57</v>
      </c>
      <c r="B56" s="34">
        <v>0</v>
      </c>
      <c r="C56" s="34">
        <v>0</v>
      </c>
      <c r="D56" s="35">
        <f t="shared" si="9"/>
        <v>0</v>
      </c>
      <c r="E56" s="43">
        <v>0</v>
      </c>
      <c r="F56" s="37">
        <v>0</v>
      </c>
      <c r="G56" s="37"/>
      <c r="H56" s="59">
        <v>0</v>
      </c>
      <c r="I56" s="47"/>
      <c r="J56" s="45"/>
      <c r="K56" s="55"/>
      <c r="L56" s="61"/>
      <c r="M56" s="38"/>
      <c r="N56" s="41"/>
      <c r="O56" s="42"/>
      <c r="P56" s="52"/>
    </row>
    <row r="57" spans="1:16" ht="65.099999999999994" customHeight="1" x14ac:dyDescent="1.35">
      <c r="A57" s="107" t="s">
        <v>58</v>
      </c>
      <c r="B57" s="34">
        <v>0</v>
      </c>
      <c r="C57" s="34">
        <v>0</v>
      </c>
      <c r="D57" s="35">
        <f t="shared" si="9"/>
        <v>0</v>
      </c>
      <c r="E57" s="43">
        <v>0</v>
      </c>
      <c r="F57" s="37">
        <v>0</v>
      </c>
      <c r="G57" s="37"/>
      <c r="H57" s="36">
        <v>0</v>
      </c>
      <c r="I57" s="38"/>
      <c r="J57" s="36"/>
      <c r="K57" s="39"/>
      <c r="L57" s="42"/>
      <c r="M57" s="38"/>
      <c r="N57" s="41"/>
      <c r="O57" s="42"/>
      <c r="P57" s="45"/>
    </row>
    <row r="58" spans="1:16" ht="65.099999999999994" customHeight="1" x14ac:dyDescent="1.35">
      <c r="A58" s="107" t="s">
        <v>59</v>
      </c>
      <c r="B58" s="34">
        <v>500000</v>
      </c>
      <c r="C58" s="34">
        <v>236500</v>
      </c>
      <c r="D58" s="35">
        <f t="shared" si="9"/>
        <v>248000</v>
      </c>
      <c r="E58" s="43">
        <v>0</v>
      </c>
      <c r="F58" s="37">
        <v>0</v>
      </c>
      <c r="G58" s="37">
        <f>248000-E58-F58</f>
        <v>248000</v>
      </c>
      <c r="H58" s="36">
        <f>248000-E58-F58-G58</f>
        <v>0</v>
      </c>
      <c r="I58" s="42"/>
      <c r="J58" s="36"/>
      <c r="K58" s="39"/>
      <c r="L58" s="42"/>
      <c r="M58" s="38"/>
      <c r="N58" s="41"/>
      <c r="O58" s="42"/>
      <c r="P58" s="52"/>
    </row>
    <row r="59" spans="1:16" ht="65.099999999999994" customHeight="1" x14ac:dyDescent="1.35">
      <c r="A59" s="107" t="s">
        <v>60</v>
      </c>
      <c r="B59" s="34">
        <v>0</v>
      </c>
      <c r="C59" s="34">
        <v>0</v>
      </c>
      <c r="D59" s="35">
        <f t="shared" si="9"/>
        <v>0</v>
      </c>
      <c r="E59" s="43">
        <v>0</v>
      </c>
      <c r="F59" s="37">
        <v>0</v>
      </c>
      <c r="G59" s="37">
        <v>0</v>
      </c>
      <c r="H59" s="59">
        <v>0</v>
      </c>
      <c r="I59" s="46"/>
      <c r="J59" s="59"/>
      <c r="K59" s="73"/>
      <c r="L59" s="46"/>
      <c r="M59" s="38"/>
      <c r="N59" s="41"/>
      <c r="O59" s="42"/>
      <c r="P59" s="45"/>
    </row>
    <row r="60" spans="1:16" ht="65.099999999999994" customHeight="1" x14ac:dyDescent="1.35">
      <c r="A60" s="107" t="s">
        <v>61</v>
      </c>
      <c r="B60" s="34">
        <v>0</v>
      </c>
      <c r="C60" s="34">
        <v>0</v>
      </c>
      <c r="D60" s="35">
        <f t="shared" si="9"/>
        <v>0</v>
      </c>
      <c r="E60" s="43">
        <v>0</v>
      </c>
      <c r="F60" s="37">
        <v>0</v>
      </c>
      <c r="G60" s="37">
        <v>0</v>
      </c>
      <c r="H60" s="59">
        <v>0</v>
      </c>
      <c r="I60" s="46"/>
      <c r="J60" s="59"/>
      <c r="K60" s="55"/>
      <c r="L60" s="46"/>
      <c r="M60" s="38"/>
      <c r="N60" s="41"/>
      <c r="O60" s="42"/>
    </row>
    <row r="61" spans="1:16" ht="65.099999999999994" customHeight="1" x14ac:dyDescent="1.35">
      <c r="A61" s="107" t="s">
        <v>62</v>
      </c>
      <c r="B61" s="34">
        <v>200000</v>
      </c>
      <c r="C61" s="34">
        <v>548447.49</v>
      </c>
      <c r="D61" s="35">
        <f t="shared" si="9"/>
        <v>0</v>
      </c>
      <c r="E61" s="43">
        <v>0</v>
      </c>
      <c r="F61" s="37">
        <v>0</v>
      </c>
      <c r="G61" s="37">
        <v>0</v>
      </c>
      <c r="H61" s="58">
        <v>0</v>
      </c>
      <c r="I61" s="61"/>
      <c r="J61" s="59"/>
      <c r="K61" s="60"/>
      <c r="L61" s="61"/>
      <c r="M61" s="38"/>
      <c r="N61" s="41"/>
      <c r="O61" s="42"/>
      <c r="P61" s="52"/>
    </row>
    <row r="62" spans="1:16" ht="65.099999999999994" customHeight="1" x14ac:dyDescent="1.35">
      <c r="A62" s="107" t="s">
        <v>63</v>
      </c>
      <c r="B62" s="34"/>
      <c r="C62" s="34">
        <v>220700</v>
      </c>
      <c r="D62" s="35">
        <f t="shared" si="9"/>
        <v>0</v>
      </c>
      <c r="E62" s="43">
        <v>0</v>
      </c>
      <c r="F62" s="37">
        <v>0</v>
      </c>
      <c r="G62" s="37">
        <v>0</v>
      </c>
      <c r="H62" s="59">
        <v>0</v>
      </c>
      <c r="I62" s="46"/>
      <c r="J62" s="59"/>
      <c r="K62" s="73"/>
      <c r="L62" s="46"/>
      <c r="M62" s="38"/>
      <c r="N62" s="41"/>
      <c r="O62" s="42"/>
      <c r="P62" s="45"/>
    </row>
    <row r="63" spans="1:16" ht="65.099999999999994" customHeight="1" x14ac:dyDescent="1.35">
      <c r="A63" s="106" t="s">
        <v>64</v>
      </c>
      <c r="B63" s="30"/>
      <c r="C63" s="30">
        <f t="shared" ref="C63:J63" si="10">SUM(C64:C67)</f>
        <v>0</v>
      </c>
      <c r="D63" s="30">
        <f t="shared" si="10"/>
        <v>0</v>
      </c>
      <c r="E63" s="50">
        <f t="shared" si="10"/>
        <v>0</v>
      </c>
      <c r="F63" s="50">
        <f t="shared" si="10"/>
        <v>0</v>
      </c>
      <c r="G63" s="50">
        <f t="shared" si="10"/>
        <v>0</v>
      </c>
      <c r="H63" s="50">
        <f t="shared" si="10"/>
        <v>0</v>
      </c>
      <c r="I63" s="50">
        <f t="shared" si="10"/>
        <v>0</v>
      </c>
      <c r="J63" s="50">
        <f t="shared" si="10"/>
        <v>0</v>
      </c>
      <c r="K63" s="56"/>
      <c r="L63" s="49"/>
      <c r="M63" s="50"/>
      <c r="N63" s="41"/>
      <c r="O63" s="42"/>
    </row>
    <row r="64" spans="1:16" ht="65.099999999999994" customHeight="1" x14ac:dyDescent="1.35">
      <c r="A64" s="107" t="s">
        <v>65</v>
      </c>
      <c r="B64" s="34">
        <v>0</v>
      </c>
      <c r="C64" s="34"/>
      <c r="D64" s="38"/>
      <c r="E64" s="43">
        <v>0</v>
      </c>
      <c r="F64" s="37">
        <v>0</v>
      </c>
      <c r="G64" s="37"/>
      <c r="H64" s="52"/>
      <c r="I64" s="42"/>
      <c r="J64" s="52"/>
      <c r="K64" s="55"/>
      <c r="L64" s="47"/>
      <c r="M64" s="38">
        <v>0</v>
      </c>
      <c r="N64" s="41"/>
      <c r="O64" s="42"/>
      <c r="P64" s="45"/>
    </row>
    <row r="65" spans="1:16" ht="65.099999999999994" customHeight="1" x14ac:dyDescent="1.35">
      <c r="A65" s="107" t="s">
        <v>66</v>
      </c>
      <c r="B65" s="34">
        <v>0</v>
      </c>
      <c r="C65" s="34"/>
      <c r="D65" s="38"/>
      <c r="E65" s="43">
        <v>0</v>
      </c>
      <c r="F65" s="37">
        <v>0</v>
      </c>
      <c r="G65" s="37"/>
      <c r="H65" s="45"/>
      <c r="I65" s="47"/>
      <c r="J65" s="45"/>
      <c r="K65" s="55"/>
      <c r="L65" s="47"/>
      <c r="M65" s="38">
        <v>0</v>
      </c>
      <c r="N65" s="41"/>
      <c r="O65" s="47"/>
      <c r="P65" s="45"/>
    </row>
    <row r="66" spans="1:16" ht="65.099999999999994" customHeight="1" x14ac:dyDescent="1.35">
      <c r="A66" s="107" t="s">
        <v>67</v>
      </c>
      <c r="B66" s="34">
        <v>0</v>
      </c>
      <c r="C66" s="34"/>
      <c r="D66" s="38"/>
      <c r="E66" s="43">
        <v>0</v>
      </c>
      <c r="F66" s="37">
        <v>0</v>
      </c>
      <c r="G66" s="37"/>
      <c r="H66" s="59"/>
      <c r="I66" s="46"/>
      <c r="J66" s="59"/>
      <c r="K66" s="73"/>
      <c r="L66" s="46">
        <v>0</v>
      </c>
      <c r="M66" s="38"/>
      <c r="N66" s="41"/>
      <c r="O66" s="46"/>
    </row>
    <row r="67" spans="1:16" ht="65.099999999999994" customHeight="1" x14ac:dyDescent="1.35">
      <c r="A67" s="107" t="s">
        <v>68</v>
      </c>
      <c r="B67" s="34">
        <v>0</v>
      </c>
      <c r="C67" s="34"/>
      <c r="D67" s="38"/>
      <c r="E67" s="43">
        <v>0</v>
      </c>
      <c r="F67" s="37">
        <v>0</v>
      </c>
      <c r="G67" s="37"/>
      <c r="H67" s="59"/>
      <c r="I67" s="46"/>
      <c r="J67" s="59"/>
      <c r="K67" s="73"/>
      <c r="L67" s="46">
        <v>0</v>
      </c>
      <c r="M67" s="38"/>
      <c r="N67" s="41"/>
      <c r="O67" s="46"/>
    </row>
    <row r="68" spans="1:16" ht="65.099999999999994" customHeight="1" x14ac:dyDescent="1.35">
      <c r="A68" s="106" t="s">
        <v>69</v>
      </c>
      <c r="B68" s="30"/>
      <c r="C68" s="30"/>
      <c r="D68" s="50">
        <f>SUM(D69:D70)</f>
        <v>0</v>
      </c>
      <c r="E68" s="50">
        <f>SUM(E69:E70)</f>
        <v>0</v>
      </c>
      <c r="F68" s="50">
        <f>SUM(F69:F70)</f>
        <v>0</v>
      </c>
      <c r="G68" s="50">
        <f>SUM(G69:G70)</f>
        <v>0</v>
      </c>
      <c r="H68" s="59"/>
      <c r="I68" s="46"/>
      <c r="J68" s="59"/>
      <c r="K68" s="73"/>
      <c r="L68" s="46">
        <v>0</v>
      </c>
      <c r="M68" s="38"/>
      <c r="N68" s="41"/>
      <c r="O68" s="46"/>
    </row>
    <row r="69" spans="1:16" ht="65.099999999999994" customHeight="1" x14ac:dyDescent="1.35">
      <c r="A69" s="107" t="s">
        <v>70</v>
      </c>
      <c r="B69" s="34">
        <v>0</v>
      </c>
      <c r="C69" s="34"/>
      <c r="D69" s="38"/>
      <c r="E69" s="43">
        <v>0</v>
      </c>
      <c r="F69" s="37">
        <v>0</v>
      </c>
      <c r="G69" s="37">
        <v>0</v>
      </c>
      <c r="H69" s="59">
        <v>0</v>
      </c>
      <c r="I69" s="46">
        <v>0</v>
      </c>
      <c r="J69" s="59"/>
      <c r="K69" s="73"/>
      <c r="L69" s="46"/>
      <c r="M69" s="38"/>
      <c r="N69" s="41"/>
      <c r="O69" s="46"/>
    </row>
    <row r="70" spans="1:16" ht="65.099999999999994" customHeight="1" x14ac:dyDescent="1.35">
      <c r="A70" s="107" t="s">
        <v>71</v>
      </c>
      <c r="B70" s="34">
        <v>0</v>
      </c>
      <c r="C70" s="34"/>
      <c r="D70" s="38"/>
      <c r="E70" s="43">
        <v>0</v>
      </c>
      <c r="F70" s="37">
        <v>0</v>
      </c>
      <c r="G70" s="37">
        <v>0</v>
      </c>
      <c r="H70" s="59">
        <v>0</v>
      </c>
      <c r="I70" s="46">
        <v>0</v>
      </c>
      <c r="J70" s="59"/>
      <c r="K70" s="73"/>
      <c r="L70" s="46">
        <v>0</v>
      </c>
      <c r="M70" s="38"/>
      <c r="N70" s="41"/>
      <c r="O70" s="46"/>
    </row>
    <row r="71" spans="1:16" ht="65.099999999999994" customHeight="1" x14ac:dyDescent="1.35">
      <c r="A71" s="106" t="s">
        <v>72</v>
      </c>
      <c r="B71" s="30"/>
      <c r="C71" s="30"/>
      <c r="D71" s="50">
        <f>SUM(D72:D74)</f>
        <v>0</v>
      </c>
      <c r="E71" s="59"/>
      <c r="F71" s="50">
        <f>SUM(E72:E74)</f>
        <v>0</v>
      </c>
      <c r="G71" s="50">
        <f>SUM(F72:F74)</f>
        <v>0</v>
      </c>
      <c r="H71" s="59"/>
      <c r="I71" s="46"/>
      <c r="J71" s="59"/>
      <c r="K71" s="73"/>
      <c r="L71" s="46">
        <v>0</v>
      </c>
      <c r="M71" s="38"/>
      <c r="N71" s="41"/>
      <c r="O71" s="46"/>
    </row>
    <row r="72" spans="1:16" ht="65.099999999999994" customHeight="1" x14ac:dyDescent="1.35">
      <c r="A72" s="107" t="s">
        <v>73</v>
      </c>
      <c r="B72" s="34">
        <v>0</v>
      </c>
      <c r="C72" s="34"/>
      <c r="D72" s="38"/>
      <c r="E72" s="43">
        <v>0</v>
      </c>
      <c r="F72" s="37">
        <v>0</v>
      </c>
      <c r="G72" s="37">
        <v>0</v>
      </c>
      <c r="H72" s="59">
        <v>0</v>
      </c>
      <c r="I72" s="46">
        <v>0</v>
      </c>
      <c r="J72" s="59"/>
      <c r="K72" s="73"/>
      <c r="L72" s="46"/>
      <c r="M72" s="38"/>
      <c r="N72" s="41"/>
      <c r="O72" s="46"/>
      <c r="P72" s="36"/>
    </row>
    <row r="73" spans="1:16" ht="65.099999999999994" customHeight="1" x14ac:dyDescent="1.35">
      <c r="A73" s="107" t="s">
        <v>74</v>
      </c>
      <c r="B73" s="34">
        <v>0</v>
      </c>
      <c r="C73" s="34"/>
      <c r="D73" s="38"/>
      <c r="E73" s="43">
        <v>0</v>
      </c>
      <c r="F73" s="37">
        <v>0</v>
      </c>
      <c r="G73" s="37">
        <v>0</v>
      </c>
      <c r="H73" s="59">
        <v>0</v>
      </c>
      <c r="I73" s="46">
        <v>0</v>
      </c>
      <c r="J73" s="59"/>
      <c r="K73" s="73"/>
      <c r="L73" s="46">
        <v>0</v>
      </c>
      <c r="M73" s="38"/>
      <c r="N73" s="41"/>
      <c r="O73" s="46"/>
    </row>
    <row r="74" spans="1:16" ht="65.099999999999994" customHeight="1" x14ac:dyDescent="1.35">
      <c r="A74" s="107" t="s">
        <v>75</v>
      </c>
      <c r="B74" s="34">
        <v>0</v>
      </c>
      <c r="C74" s="34"/>
      <c r="D74" s="38"/>
      <c r="E74" s="43">
        <v>0</v>
      </c>
      <c r="F74" s="37">
        <v>0</v>
      </c>
      <c r="G74" s="37">
        <v>0</v>
      </c>
      <c r="H74" s="59">
        <v>0</v>
      </c>
      <c r="I74" s="46">
        <v>0</v>
      </c>
      <c r="J74" s="59"/>
      <c r="K74" s="73"/>
      <c r="L74" s="46">
        <v>0</v>
      </c>
      <c r="M74" s="38"/>
      <c r="N74" s="41"/>
      <c r="O74" s="46"/>
    </row>
    <row r="75" spans="1:16" s="5" customFormat="1" ht="65.099999999999994" customHeight="1" x14ac:dyDescent="1.35">
      <c r="A75" s="108" t="s">
        <v>76</v>
      </c>
      <c r="B75" s="74">
        <f>B11+B17+B27+B53+B63</f>
        <v>330979786</v>
      </c>
      <c r="C75" s="74">
        <f>C11+C17+C27+C53+C63</f>
        <v>21835621.039999999</v>
      </c>
      <c r="D75" s="74">
        <f>D11+D17+D27+D53+D63</f>
        <v>89174833.960000008</v>
      </c>
      <c r="E75" s="74">
        <f>E11+E17+E27+E53+E63</f>
        <v>1203070.8999999999</v>
      </c>
      <c r="F75" s="74">
        <f>F11+F17+F27+F53+F63</f>
        <v>44048843.830000006</v>
      </c>
      <c r="G75" s="76">
        <f t="shared" ref="G75:P75" si="11">SUM(G12:G74)</f>
        <v>26679130.500000007</v>
      </c>
      <c r="H75" s="76">
        <f t="shared" si="11"/>
        <v>24661464.189999998</v>
      </c>
      <c r="I75" s="76">
        <f>D75-87995555.18</f>
        <v>1179278.7800000012</v>
      </c>
      <c r="J75" s="77">
        <f t="shared" si="11"/>
        <v>0</v>
      </c>
      <c r="K75" s="77">
        <f t="shared" si="11"/>
        <v>-7811999.8699999992</v>
      </c>
      <c r="L75" s="77">
        <f t="shared" si="11"/>
        <v>0</v>
      </c>
      <c r="M75" s="78">
        <f t="shared" si="11"/>
        <v>1226944.1399999999</v>
      </c>
      <c r="N75" s="79">
        <f t="shared" si="11"/>
        <v>0</v>
      </c>
      <c r="O75" s="78">
        <f t="shared" si="11"/>
        <v>0</v>
      </c>
      <c r="P75" s="77">
        <f t="shared" si="11"/>
        <v>0</v>
      </c>
    </row>
    <row r="76" spans="1:16" ht="65.099999999999994" customHeight="1" x14ac:dyDescent="1.35">
      <c r="A76" s="107"/>
      <c r="B76" s="80"/>
      <c r="C76" s="80"/>
      <c r="D76" s="38"/>
      <c r="E76" s="43"/>
      <c r="F76" s="37"/>
      <c r="G76" s="37"/>
      <c r="H76" s="59"/>
      <c r="I76" s="47"/>
      <c r="J76" s="59"/>
      <c r="K76" s="46"/>
      <c r="L76" s="46"/>
      <c r="M76" s="38"/>
      <c r="N76" s="41"/>
      <c r="O76" s="46"/>
    </row>
    <row r="77" spans="1:16" ht="65.099999999999994" customHeight="1" x14ac:dyDescent="1.35">
      <c r="A77" s="105" t="s">
        <v>77</v>
      </c>
      <c r="B77" s="81"/>
      <c r="C77" s="81"/>
      <c r="D77" s="82"/>
      <c r="E77" s="83"/>
      <c r="F77" s="84"/>
      <c r="G77" s="84"/>
      <c r="H77" s="83"/>
      <c r="I77" s="85"/>
      <c r="J77" s="83"/>
      <c r="K77" s="85"/>
      <c r="L77" s="85"/>
      <c r="M77" s="82"/>
      <c r="N77" s="86"/>
      <c r="O77" s="85"/>
      <c r="P77" s="83"/>
    </row>
    <row r="78" spans="1:16" ht="65.099999999999994" customHeight="1" x14ac:dyDescent="1.35">
      <c r="A78" s="106" t="s">
        <v>78</v>
      </c>
      <c r="B78" s="87"/>
      <c r="C78" s="88"/>
      <c r="D78" s="50">
        <f>D79+D80</f>
        <v>0</v>
      </c>
      <c r="E78" s="50">
        <f>E79+E80</f>
        <v>0</v>
      </c>
      <c r="F78" s="50">
        <f>F79+F80</f>
        <v>0</v>
      </c>
      <c r="G78" s="50">
        <f>G79+G80</f>
        <v>0</v>
      </c>
      <c r="H78" s="59"/>
      <c r="I78" s="46"/>
      <c r="J78" s="52">
        <f>J79+J80</f>
        <v>0</v>
      </c>
      <c r="K78" s="42"/>
      <c r="L78" s="46"/>
      <c r="M78" s="38"/>
      <c r="N78" s="41"/>
      <c r="O78" s="46"/>
    </row>
    <row r="79" spans="1:16" ht="65.099999999999994" customHeight="1" x14ac:dyDescent="1.35">
      <c r="A79" s="107" t="s">
        <v>79</v>
      </c>
      <c r="B79" s="80"/>
      <c r="C79" s="89"/>
      <c r="D79" s="38"/>
      <c r="E79" s="43">
        <v>0</v>
      </c>
      <c r="F79" s="44">
        <v>0</v>
      </c>
      <c r="G79" s="37"/>
      <c r="H79" s="36">
        <v>0</v>
      </c>
      <c r="I79" s="46">
        <v>0</v>
      </c>
      <c r="J79" s="59"/>
      <c r="K79" s="46"/>
      <c r="L79" s="42"/>
      <c r="M79" s="38"/>
      <c r="N79" s="41"/>
      <c r="O79" s="46"/>
    </row>
    <row r="80" spans="1:16" ht="65.099999999999994" customHeight="1" x14ac:dyDescent="1.35">
      <c r="A80" s="107" t="s">
        <v>80</v>
      </c>
      <c r="B80" s="89"/>
      <c r="C80" s="89"/>
      <c r="D80" s="38"/>
      <c r="E80" s="43">
        <v>0</v>
      </c>
      <c r="F80" s="44"/>
      <c r="G80" s="37"/>
      <c r="H80" s="59">
        <v>0</v>
      </c>
      <c r="I80" s="46">
        <v>0</v>
      </c>
      <c r="J80" s="52"/>
      <c r="K80" s="46"/>
      <c r="L80" s="46"/>
      <c r="M80" s="38"/>
      <c r="N80" s="41"/>
      <c r="O80" s="46"/>
    </row>
    <row r="81" spans="1:16" ht="65.099999999999994" customHeight="1" x14ac:dyDescent="1.35">
      <c r="A81" s="106" t="s">
        <v>81</v>
      </c>
      <c r="B81" s="87"/>
      <c r="C81" s="87"/>
      <c r="D81" s="50">
        <f>D82+D83</f>
        <v>0</v>
      </c>
      <c r="E81" s="50">
        <f>E82+E83</f>
        <v>0</v>
      </c>
      <c r="F81" s="50">
        <f>F82+F83</f>
        <v>0</v>
      </c>
      <c r="G81" s="50">
        <f>G82+G83</f>
        <v>0</v>
      </c>
      <c r="H81" s="59"/>
      <c r="I81" s="46"/>
      <c r="J81" s="59"/>
      <c r="K81" s="46"/>
      <c r="L81" s="46"/>
      <c r="M81" s="38"/>
      <c r="N81" s="41"/>
      <c r="O81" s="46"/>
    </row>
    <row r="82" spans="1:16" ht="65.099999999999994" customHeight="1" x14ac:dyDescent="1.35">
      <c r="A82" s="107" t="s">
        <v>82</v>
      </c>
      <c r="B82" s="80"/>
      <c r="C82" s="80"/>
      <c r="D82" s="35">
        <f>SUM(E82:P82)</f>
        <v>0</v>
      </c>
      <c r="E82" s="43">
        <v>0</v>
      </c>
      <c r="F82" s="44">
        <v>0</v>
      </c>
      <c r="G82" s="37"/>
      <c r="H82" s="37">
        <v>0</v>
      </c>
      <c r="I82" s="42">
        <v>0</v>
      </c>
      <c r="J82" s="52"/>
      <c r="K82" s="42"/>
      <c r="L82" s="42"/>
      <c r="M82" s="38"/>
      <c r="N82" s="41"/>
      <c r="O82" s="42"/>
    </row>
    <row r="83" spans="1:16" ht="65.099999999999994" customHeight="1" x14ac:dyDescent="1.35">
      <c r="A83" s="107" t="s">
        <v>83</v>
      </c>
      <c r="B83" s="80"/>
      <c r="C83" s="80"/>
      <c r="D83" s="38"/>
      <c r="E83" s="43">
        <v>0</v>
      </c>
      <c r="F83" s="44">
        <v>0</v>
      </c>
      <c r="G83" s="37"/>
      <c r="H83" s="59">
        <v>0</v>
      </c>
      <c r="I83" s="46">
        <v>0</v>
      </c>
      <c r="J83" s="59"/>
      <c r="K83" s="46"/>
      <c r="L83" s="46"/>
      <c r="M83" s="38"/>
      <c r="N83" s="41"/>
      <c r="O83" s="46"/>
    </row>
    <row r="84" spans="1:16" ht="65.099999999999994" customHeight="1" x14ac:dyDescent="1.35">
      <c r="A84" s="106" t="s">
        <v>84</v>
      </c>
      <c r="B84" s="87"/>
      <c r="C84" s="87"/>
      <c r="D84" s="50">
        <f>D85</f>
        <v>0</v>
      </c>
      <c r="E84" s="50">
        <f>E85</f>
        <v>0</v>
      </c>
      <c r="F84" s="50">
        <f>F85</f>
        <v>0</v>
      </c>
      <c r="G84" s="50">
        <f>G85</f>
        <v>0</v>
      </c>
      <c r="H84" s="59"/>
      <c r="I84" s="46"/>
      <c r="J84" s="59"/>
      <c r="K84" s="46"/>
      <c r="L84" s="46"/>
      <c r="M84" s="38"/>
      <c r="N84" s="41"/>
      <c r="O84" s="46"/>
    </row>
    <row r="85" spans="1:16" ht="65.099999999999994" customHeight="1" x14ac:dyDescent="1.35">
      <c r="A85" s="107" t="s">
        <v>85</v>
      </c>
      <c r="B85" s="80"/>
      <c r="C85" s="80"/>
      <c r="D85" s="38"/>
      <c r="E85" s="43">
        <v>0</v>
      </c>
      <c r="F85" s="44">
        <v>0</v>
      </c>
      <c r="G85" s="37"/>
      <c r="H85" s="59">
        <v>0</v>
      </c>
      <c r="I85" s="46">
        <v>0</v>
      </c>
      <c r="J85" s="59"/>
      <c r="K85" s="46"/>
      <c r="L85" s="46"/>
      <c r="M85" s="38"/>
      <c r="N85" s="41"/>
      <c r="O85" s="46"/>
    </row>
    <row r="86" spans="1:16" s="5" customFormat="1" ht="65.099999999999994" customHeight="1" x14ac:dyDescent="1.35">
      <c r="A86" s="108" t="s">
        <v>86</v>
      </c>
      <c r="B86" s="90"/>
      <c r="C86" s="90"/>
      <c r="D86" s="91">
        <f>D78+D81+D84</f>
        <v>0</v>
      </c>
      <c r="E86" s="91">
        <f>E78+E81+E84</f>
        <v>0</v>
      </c>
      <c r="F86" s="91">
        <f>F78+F81+F84</f>
        <v>0</v>
      </c>
      <c r="G86" s="91">
        <f>G78+G81+G84</f>
        <v>0</v>
      </c>
      <c r="H86" s="75">
        <f>SUM(H77:H85)</f>
        <v>0</v>
      </c>
      <c r="I86" s="75">
        <f>SUM(I77:I85)</f>
        <v>0</v>
      </c>
      <c r="J86" s="77"/>
      <c r="K86" s="77"/>
      <c r="L86" s="77"/>
      <c r="M86" s="78"/>
      <c r="N86" s="79"/>
      <c r="O86" s="77"/>
      <c r="P86" s="77"/>
    </row>
    <row r="87" spans="1:16" ht="65.099999999999994" customHeight="1" x14ac:dyDescent="1.35">
      <c r="A87" s="109"/>
      <c r="B87" s="92"/>
      <c r="C87" s="92"/>
      <c r="D87" s="38"/>
      <c r="E87" s="59"/>
      <c r="F87" s="37"/>
      <c r="G87" s="37"/>
      <c r="H87" s="59"/>
      <c r="I87" s="46"/>
      <c r="J87" s="59"/>
      <c r="K87" s="46"/>
      <c r="L87" s="46"/>
      <c r="M87" s="38"/>
      <c r="N87" s="41"/>
      <c r="O87" s="46"/>
    </row>
    <row r="88" spans="1:16" s="5" customFormat="1" ht="144.75" customHeight="1" x14ac:dyDescent="1.35">
      <c r="A88" s="108" t="s">
        <v>87</v>
      </c>
      <c r="B88" s="93">
        <f>B75+B86</f>
        <v>330979786</v>
      </c>
      <c r="C88" s="93">
        <f>C75+C86</f>
        <v>21835621.039999999</v>
      </c>
      <c r="D88" s="94">
        <f t="shared" ref="D88:H88" si="12">SUM(D86,D75)</f>
        <v>89174833.960000008</v>
      </c>
      <c r="E88" s="94">
        <f t="shared" si="12"/>
        <v>1203070.8999999999</v>
      </c>
      <c r="F88" s="95">
        <f t="shared" si="12"/>
        <v>44048843.830000006</v>
      </c>
      <c r="G88" s="95">
        <f t="shared" si="12"/>
        <v>26679130.500000007</v>
      </c>
      <c r="H88" s="95">
        <f t="shared" si="12"/>
        <v>24661464.189999998</v>
      </c>
      <c r="I88" s="95"/>
      <c r="J88" s="96">
        <f t="shared" ref="J88:P88" si="13">SUM(J86,J75)</f>
        <v>0</v>
      </c>
      <c r="K88" s="96">
        <f t="shared" si="13"/>
        <v>-7811999.8699999992</v>
      </c>
      <c r="L88" s="96">
        <f t="shared" si="13"/>
        <v>0</v>
      </c>
      <c r="M88" s="97">
        <f t="shared" si="13"/>
        <v>1226944.1399999999</v>
      </c>
      <c r="N88" s="98">
        <f t="shared" si="13"/>
        <v>0</v>
      </c>
      <c r="O88" s="97">
        <f t="shared" si="13"/>
        <v>0</v>
      </c>
      <c r="P88" s="96">
        <f t="shared" si="13"/>
        <v>0</v>
      </c>
    </row>
    <row r="89" spans="1:16" s="5" customFormat="1" ht="144.75" customHeight="1" x14ac:dyDescent="1.35">
      <c r="A89" s="127"/>
      <c r="B89" s="93"/>
      <c r="C89" s="93"/>
      <c r="D89" s="94"/>
      <c r="E89" s="94"/>
      <c r="F89" s="95"/>
      <c r="G89" s="95"/>
      <c r="H89" s="95"/>
      <c r="I89" s="95"/>
      <c r="J89" s="96"/>
      <c r="K89" s="96"/>
      <c r="L89" s="96"/>
      <c r="M89" s="97"/>
      <c r="N89" s="98"/>
      <c r="O89" s="97"/>
      <c r="P89" s="96"/>
    </row>
    <row r="90" spans="1:16" s="5" customFormat="1" ht="144.75" customHeight="1" x14ac:dyDescent="1.35">
      <c r="A90" s="127"/>
      <c r="B90" s="93"/>
      <c r="C90" s="93"/>
      <c r="D90" s="94"/>
      <c r="E90" s="94"/>
      <c r="F90" s="95"/>
      <c r="G90" s="95"/>
      <c r="H90" s="95"/>
      <c r="I90" s="95"/>
      <c r="J90" s="96"/>
      <c r="K90" s="96"/>
      <c r="L90" s="96"/>
      <c r="M90" s="97"/>
      <c r="N90" s="98"/>
      <c r="O90" s="97"/>
      <c r="P90" s="96"/>
    </row>
    <row r="91" spans="1:16" s="5" customFormat="1" ht="144.75" customHeight="1" x14ac:dyDescent="1.35">
      <c r="A91" s="127"/>
      <c r="B91" s="93"/>
      <c r="C91" s="93"/>
      <c r="D91" s="94"/>
      <c r="E91" s="94"/>
      <c r="F91" s="95"/>
      <c r="G91" s="95"/>
      <c r="H91" s="95"/>
      <c r="I91" s="95"/>
      <c r="J91" s="96"/>
      <c r="K91" s="96"/>
      <c r="L91" s="96"/>
      <c r="M91" s="97"/>
      <c r="N91" s="98"/>
      <c r="O91" s="97"/>
      <c r="P91" s="96"/>
    </row>
    <row r="92" spans="1:16" ht="65.099999999999994" customHeight="1" x14ac:dyDescent="1.35">
      <c r="B92" s="99"/>
      <c r="C92" s="99"/>
      <c r="D92" s="38"/>
      <c r="E92" s="59"/>
      <c r="F92" s="37"/>
      <c r="G92" s="37"/>
      <c r="H92" s="59"/>
      <c r="I92" s="46"/>
      <c r="J92" s="59"/>
      <c r="K92" s="46"/>
      <c r="L92" s="46"/>
      <c r="M92" s="38"/>
      <c r="N92" s="41"/>
      <c r="O92" s="46"/>
    </row>
    <row r="93" spans="1:16" ht="155.25" customHeight="1" x14ac:dyDescent="1.55">
      <c r="A93" s="121" t="s">
        <v>92</v>
      </c>
      <c r="B93" s="104"/>
      <c r="C93" s="122"/>
      <c r="D93" s="123"/>
      <c r="E93" s="124"/>
      <c r="K93" s="5"/>
      <c r="L93" s="5"/>
      <c r="M93" s="2"/>
      <c r="N93" s="20"/>
      <c r="O93" s="5"/>
    </row>
    <row r="94" spans="1:16" ht="240.75" customHeight="1" x14ac:dyDescent="1.35">
      <c r="A94" s="134" t="s">
        <v>98</v>
      </c>
      <c r="B94" s="134"/>
      <c r="C94" s="134"/>
      <c r="D94" s="134"/>
      <c r="E94" s="134"/>
      <c r="K94" s="5"/>
      <c r="L94" s="5"/>
      <c r="M94" s="2"/>
      <c r="N94" s="20"/>
      <c r="O94" s="5"/>
    </row>
    <row r="95" spans="1:16" ht="187.5" customHeight="1" x14ac:dyDescent="1.35">
      <c r="A95" s="134" t="s">
        <v>99</v>
      </c>
      <c r="B95" s="134"/>
      <c r="C95" s="134"/>
      <c r="D95" s="134"/>
      <c r="E95" s="134"/>
      <c r="F95" s="112"/>
      <c r="K95" s="5"/>
      <c r="L95" s="5"/>
      <c r="M95" s="2"/>
      <c r="N95" s="20"/>
      <c r="O95" s="5"/>
    </row>
    <row r="96" spans="1:16" ht="65.099999999999994" customHeight="1" x14ac:dyDescent="1.35">
      <c r="A96" s="134"/>
      <c r="B96" s="134"/>
      <c r="C96" s="134"/>
      <c r="D96" s="134"/>
      <c r="E96" s="124"/>
      <c r="K96" s="5"/>
      <c r="L96" s="5"/>
      <c r="M96" s="2"/>
      <c r="N96" s="20"/>
      <c r="O96" s="5"/>
    </row>
    <row r="97" spans="1:15" ht="289.5" customHeight="1" x14ac:dyDescent="1.35">
      <c r="A97" s="134" t="s">
        <v>100</v>
      </c>
      <c r="B97" s="134"/>
      <c r="C97" s="134"/>
      <c r="D97" s="134"/>
      <c r="E97" s="134"/>
      <c r="F97" s="112"/>
      <c r="K97" s="5"/>
      <c r="L97" s="5"/>
      <c r="M97" s="2"/>
      <c r="N97" s="20"/>
      <c r="O97" s="5"/>
    </row>
    <row r="98" spans="1:15" ht="65.099999999999994" customHeight="1" x14ac:dyDescent="1.35">
      <c r="A98" s="117"/>
      <c r="B98" s="113"/>
      <c r="C98" s="113"/>
      <c r="D98" s="113"/>
      <c r="E98" s="113"/>
      <c r="F98" s="112"/>
      <c r="K98" s="5"/>
      <c r="L98" s="5"/>
      <c r="M98" s="2"/>
      <c r="N98" s="20"/>
      <c r="O98" s="5"/>
    </row>
    <row r="99" spans="1:15" ht="65.099999999999994" customHeight="1" x14ac:dyDescent="1.35">
      <c r="A99" s="117"/>
      <c r="B99" s="117"/>
      <c r="C99" s="117"/>
      <c r="D99" s="117"/>
      <c r="E99" s="117"/>
      <c r="F99" s="112"/>
      <c r="K99" s="5"/>
      <c r="L99" s="5"/>
      <c r="M99" s="2"/>
      <c r="N99" s="20"/>
      <c r="O99" s="5"/>
    </row>
    <row r="100" spans="1:15" ht="65.099999999999994" customHeight="1" x14ac:dyDescent="1.35">
      <c r="A100" s="117"/>
      <c r="B100" s="117"/>
      <c r="C100" s="117"/>
      <c r="D100" s="117"/>
      <c r="E100" s="117"/>
      <c r="F100" s="112"/>
      <c r="K100" s="5"/>
      <c r="L100" s="5"/>
      <c r="M100" s="2"/>
      <c r="N100" s="20"/>
      <c r="O100" s="5"/>
    </row>
    <row r="101" spans="1:15" ht="65.099999999999994" customHeight="1" x14ac:dyDescent="1.35">
      <c r="A101" s="117"/>
      <c r="B101" s="117"/>
      <c r="C101" s="117"/>
      <c r="D101" s="117"/>
      <c r="E101" s="117"/>
      <c r="F101" s="112"/>
      <c r="K101" s="5"/>
      <c r="L101" s="5"/>
      <c r="M101" s="2"/>
      <c r="N101" s="20"/>
      <c r="O101" s="5"/>
    </row>
    <row r="102" spans="1:15" ht="65.099999999999994" customHeight="1" x14ac:dyDescent="1.35">
      <c r="A102" s="117"/>
      <c r="B102" s="117"/>
      <c r="C102" s="117"/>
      <c r="D102" s="117"/>
      <c r="E102" s="117"/>
      <c r="F102" s="112"/>
      <c r="K102" s="5"/>
      <c r="L102" s="5"/>
      <c r="M102" s="2"/>
      <c r="N102" s="20"/>
      <c r="O102" s="5"/>
    </row>
    <row r="103" spans="1:15" ht="65.099999999999994" customHeight="1" x14ac:dyDescent="1.35">
      <c r="A103" s="117"/>
      <c r="B103" s="117"/>
      <c r="C103" s="117"/>
      <c r="D103" s="117"/>
      <c r="E103" s="117"/>
      <c r="F103" s="112"/>
      <c r="K103" s="5"/>
      <c r="L103" s="5"/>
      <c r="M103" s="2"/>
      <c r="N103" s="20"/>
      <c r="O103" s="5"/>
    </row>
    <row r="104" spans="1:15" ht="65.099999999999994" customHeight="1" x14ac:dyDescent="1.35">
      <c r="A104" s="117"/>
      <c r="B104" s="117"/>
      <c r="C104" s="117"/>
      <c r="D104" s="117"/>
      <c r="E104" s="117"/>
      <c r="F104" s="112"/>
      <c r="K104" s="5"/>
      <c r="L104" s="5"/>
      <c r="M104" s="2"/>
      <c r="N104" s="20"/>
      <c r="O104" s="5"/>
    </row>
    <row r="105" spans="1:15" ht="65.099999999999994" customHeight="1" x14ac:dyDescent="1.35">
      <c r="A105" s="117"/>
      <c r="B105" s="117"/>
      <c r="C105" s="117"/>
      <c r="D105" s="117"/>
      <c r="E105" s="117"/>
      <c r="F105" s="112"/>
      <c r="K105" s="5"/>
      <c r="L105" s="5"/>
      <c r="M105" s="2"/>
      <c r="N105" s="20"/>
      <c r="O105" s="5"/>
    </row>
    <row r="106" spans="1:15" ht="65.099999999999994" customHeight="1" x14ac:dyDescent="1.35">
      <c r="A106" s="117"/>
      <c r="B106" s="113"/>
      <c r="C106" s="113"/>
      <c r="D106" s="113"/>
      <c r="E106" s="113"/>
      <c r="F106" s="112"/>
      <c r="K106" s="5"/>
      <c r="L106" s="5"/>
      <c r="M106" s="2"/>
      <c r="N106" s="20"/>
      <c r="O106" s="5"/>
    </row>
    <row r="107" spans="1:15" ht="59.25" customHeight="1" x14ac:dyDescent="1.35">
      <c r="A107" s="117"/>
      <c r="B107" s="113"/>
      <c r="C107" s="113"/>
      <c r="D107" s="113"/>
      <c r="E107" s="113"/>
      <c r="F107" s="112"/>
      <c r="K107" s="5"/>
      <c r="L107" s="5"/>
      <c r="M107" s="2"/>
      <c r="N107" s="20"/>
      <c r="O107" s="5"/>
    </row>
    <row r="108" spans="1:15" ht="64.5" hidden="1" customHeight="1" x14ac:dyDescent="1.35">
      <c r="A108" s="117"/>
      <c r="B108" s="113"/>
      <c r="C108" s="113"/>
      <c r="D108" s="113"/>
      <c r="E108" s="113"/>
      <c r="F108" s="112"/>
      <c r="K108" s="5"/>
      <c r="L108" s="5"/>
      <c r="M108" s="2"/>
      <c r="N108" s="20"/>
      <c r="O108" s="5"/>
    </row>
    <row r="109" spans="1:15" ht="64.5" hidden="1" customHeight="1" x14ac:dyDescent="1.35">
      <c r="A109" s="110"/>
      <c r="B109" s="24"/>
      <c r="C109" s="24"/>
      <c r="D109" s="24"/>
      <c r="E109" s="24"/>
      <c r="F109" s="24"/>
      <c r="K109" s="5"/>
      <c r="L109" s="5"/>
      <c r="M109" s="2"/>
      <c r="N109" s="20"/>
      <c r="O109" s="5"/>
    </row>
    <row r="110" spans="1:15" ht="150" customHeight="1" x14ac:dyDescent="1.8">
      <c r="A110" s="132" t="s">
        <v>96</v>
      </c>
      <c r="B110" s="132"/>
      <c r="C110" s="132"/>
      <c r="D110" s="132"/>
      <c r="E110" s="132"/>
      <c r="F110" s="132"/>
      <c r="G110" s="132"/>
      <c r="H110" s="132"/>
      <c r="I110" s="119"/>
      <c r="J110" s="119"/>
      <c r="K110" s="119"/>
      <c r="L110" s="119"/>
      <c r="M110" s="119"/>
      <c r="N110" s="119"/>
      <c r="O110" s="115"/>
    </row>
    <row r="111" spans="1:15" ht="118.5" customHeight="1" x14ac:dyDescent="2.0499999999999998">
      <c r="A111" s="133" t="s">
        <v>88</v>
      </c>
      <c r="B111" s="133"/>
      <c r="C111" s="133"/>
      <c r="D111" s="133"/>
      <c r="E111" s="133"/>
      <c r="F111" s="133"/>
      <c r="G111" s="133"/>
      <c r="H111" s="133"/>
      <c r="I111" s="116"/>
      <c r="J111" s="116"/>
      <c r="K111" s="116"/>
      <c r="L111" s="116"/>
      <c r="M111" s="116"/>
      <c r="N111" s="116"/>
      <c r="O111" s="116"/>
    </row>
    <row r="112" spans="1:15" ht="65.099999999999994" customHeight="1" x14ac:dyDescent="1.35">
      <c r="K112" s="5"/>
      <c r="L112" s="5"/>
      <c r="M112" s="2"/>
      <c r="N112" s="20"/>
      <c r="O112" s="5"/>
    </row>
    <row r="113" spans="4:15" ht="65.099999999999994" customHeight="1" x14ac:dyDescent="1.35">
      <c r="K113" s="5"/>
      <c r="L113" s="5"/>
      <c r="M113" s="2"/>
      <c r="N113" s="20"/>
      <c r="O113" s="5"/>
    </row>
    <row r="123" spans="4:15" ht="65.099999999999994" customHeight="1" x14ac:dyDescent="1.35">
      <c r="D123" s="22"/>
      <c r="E123" s="25"/>
      <c r="J123" s="21"/>
    </row>
    <row r="124" spans="4:15" ht="65.099999999999994" customHeight="1" x14ac:dyDescent="1.35">
      <c r="D124" s="22"/>
      <c r="E124" s="25"/>
      <c r="J124" s="21"/>
    </row>
    <row r="125" spans="4:15" ht="65.099999999999994" customHeight="1" x14ac:dyDescent="1.35">
      <c r="D125" s="22"/>
      <c r="E125" s="25"/>
    </row>
    <row r="126" spans="4:15" ht="65.099999999999994" customHeight="1" x14ac:dyDescent="1.35">
      <c r="D126" s="22"/>
      <c r="E126" s="25"/>
    </row>
    <row r="128" spans="4:15" ht="65.099999999999994" customHeight="1" x14ac:dyDescent="1.35">
      <c r="J128" s="21"/>
    </row>
    <row r="129" spans="1:14" ht="65.099999999999994" customHeight="1" x14ac:dyDescent="1.35">
      <c r="E129" s="19"/>
      <c r="N129" s="28"/>
    </row>
    <row r="130" spans="1:14" ht="65.099999999999994" customHeight="1" x14ac:dyDescent="1.35">
      <c r="A130" s="111"/>
      <c r="B130" s="29"/>
      <c r="C130" s="29"/>
    </row>
    <row r="134" spans="1:14" ht="65.099999999999994" customHeight="1" x14ac:dyDescent="1.35">
      <c r="H134" s="19"/>
    </row>
    <row r="136" spans="1:14" ht="65.099999999999994" customHeight="1" x14ac:dyDescent="1.35">
      <c r="E136" s="21"/>
    </row>
  </sheetData>
  <mergeCells count="9">
    <mergeCell ref="A94:E94"/>
    <mergeCell ref="A96:D96"/>
    <mergeCell ref="A95:E95"/>
    <mergeCell ref="A97:E97"/>
    <mergeCell ref="A5:H5"/>
    <mergeCell ref="A6:H6"/>
    <mergeCell ref="A7:H7"/>
    <mergeCell ref="A110:H110"/>
    <mergeCell ref="A111:H111"/>
  </mergeCells>
  <pageMargins left="0.23622047244094491" right="0.23622047244094491" top="0.74803149606299213" bottom="0.74803149606299213" header="0.31496062992125984" footer="0.31496062992125984"/>
  <pageSetup scale="12" fitToWidth="0" fitToHeight="3" orientation="portrait" horizontalDpi="1200" verticalDpi="1200" r:id="rId1"/>
  <headerFooter>
    <oddFooter>&amp;L&amp;8&amp;F&amp;C&amp;8Pág. &amp;P de &amp;N&amp;R&amp;8&amp;D-&amp;T</oddFooter>
  </headerFooter>
  <rowBreaks count="1" manualBreakCount="1">
    <brk id="64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Ejec. Presup 2025</vt:lpstr>
      <vt:lpstr>'Ejec. Presup 2025'!Área_de_impresión</vt:lpstr>
      <vt:lpstr>'Ejec. Presup 2025'!Títulos_a_imprimir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Carlos Morel Medina</dc:creator>
  <cp:lastModifiedBy>Clara Elena Morán Cruz</cp:lastModifiedBy>
  <cp:lastPrinted>2025-05-07T17:35:11Z</cp:lastPrinted>
  <dcterms:created xsi:type="dcterms:W3CDTF">2017-12-09T22:11:36Z</dcterms:created>
  <dcterms:modified xsi:type="dcterms:W3CDTF">2025-05-07T17:35:44Z</dcterms:modified>
</cp:coreProperties>
</file>